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доходы" sheetId="1" r:id="rId1"/>
    <sheet name="расходы полугод" sheetId="2" r:id="rId2"/>
    <sheet name="ИФДБ" sheetId="3" r:id="rId3"/>
  </sheets>
  <externalReferences>
    <externalReference r:id="rId6"/>
  </externalReferences>
  <definedNames>
    <definedName name="_xlnm.Print_Area" localSheetId="1">'расходы полугод'!$A$3:$H$508</definedName>
  </definedNames>
  <calcPr fullCalcOnLoad="1"/>
</workbook>
</file>

<file path=xl/sharedStrings.xml><?xml version="1.0" encoding="utf-8"?>
<sst xmlns="http://schemas.openxmlformats.org/spreadsheetml/2006/main" count="2503" uniqueCount="1229">
  <si>
    <t xml:space="preserve">Социальные выплаты гражданам, кроме публичных нормативных социальных выплат
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</si>
  <si>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</si>
  <si>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</si>
  <si>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830</t>
  </si>
  <si>
    <t>Исполнение судебных актов</t>
  </si>
  <si>
    <t>850</t>
  </si>
  <si>
    <t xml:space="preserve">Уплата налогов, сборов и иных платежей
</t>
  </si>
  <si>
    <t xml:space="preserve">Погашение кредиторской задолженности прошлых лет </t>
  </si>
  <si>
    <t>8001102</t>
  </si>
  <si>
    <t>Глава местной администрации (исполнительно-распорядительного органа муниципального образования)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</si>
  <si>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</si>
  <si>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</si>
  <si>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1100000</t>
  </si>
  <si>
    <t xml:space="preserve">Муниципальная программа городского округа Нижняя Салда «Управление  муниципальными финансами городского округа Нижняя Салда  до 2020 года»
</t>
  </si>
  <si>
    <t>1130000</t>
  </si>
  <si>
    <t>Подпрограмма Обеспечение реализации муниципальной программы городского округа  Нижняя Салда «Управление муниципальными финансами городского округа Нижняя Салда до 2020 года»</t>
  </si>
  <si>
    <t>1132101</t>
  </si>
  <si>
    <t>Обеспечение деятельности финансовых органов</t>
  </si>
  <si>
    <t>0111</t>
  </si>
  <si>
    <t>Резервные фонды</t>
  </si>
  <si>
    <t>8005070</t>
  </si>
  <si>
    <t>Резервный фонд администрации городского округа Нижняя Салда</t>
  </si>
  <si>
    <t>870</t>
  </si>
  <si>
    <t>Резервные средства</t>
  </si>
  <si>
    <t>0113</t>
  </si>
  <si>
    <t>Другие общегосударственные вопросы</t>
  </si>
  <si>
    <t>0500000</t>
  </si>
  <si>
    <t>Муниципальная программа «Повышение эффективности управления муниципальной собственностью городского округа Нижняя Салда до 2020 года»</t>
  </si>
  <si>
    <t>0510000</t>
  </si>
  <si>
    <t>Подпрограмма Программа управления муниципальной собственностью и приватизации муниципального имущества городского округа Нижняя Салда до 2020 года</t>
  </si>
  <si>
    <t>0512101</t>
  </si>
  <si>
    <t xml:space="preserve">Проведение технической инвентаризации объектов, оформление технических и кадастровых паспортов, регистрация права муниципальной собственности </t>
  </si>
  <si>
    <t>0512102</t>
  </si>
  <si>
    <t xml:space="preserve">Проведение рыночной оценки стоимости имущества </t>
  </si>
  <si>
    <t>0512104</t>
  </si>
  <si>
    <t>Расходы на содержание имущества</t>
  </si>
  <si>
    <t>0512105</t>
  </si>
  <si>
    <t>0600000</t>
  </si>
  <si>
    <t>Муниципальная программа "Общегосударственные вопросы"</t>
  </si>
  <si>
    <t>0610000</t>
  </si>
  <si>
    <t>Подпрограмма "Обеспечение иных расходных полномочий"</t>
  </si>
  <si>
    <t>0612101</t>
  </si>
  <si>
    <t>Уплата членских взносов ассоциации "Совет муниципальных образований"</t>
  </si>
  <si>
    <t>0620000</t>
  </si>
  <si>
    <t>Подпрограмма "Обеспечение деятельности административных комиссий"</t>
  </si>
  <si>
    <t>0624110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</si>
  <si>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</si>
  <si>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0624120</t>
  </si>
  <si>
    <t>Осуществление государственного полномочия Свердловской области по созданию административных комиссий</t>
  </si>
  <si>
    <t>0630000</t>
  </si>
  <si>
    <t>Подпрограмма Пенсионное обеспечение муниципальных служащих</t>
  </si>
  <si>
    <t>0632104</t>
  </si>
  <si>
    <t>Пенсионное обеспечение муниципальных служащих</t>
  </si>
  <si>
    <t>0640000</t>
  </si>
  <si>
    <t>Подпрограмма Обеспечение деятельности подведомственных учреждений</t>
  </si>
  <si>
    <t>0642105</t>
  </si>
  <si>
    <t>Обеспечение деятельности МКУ "Архив городского округа Нижняя Салда"</t>
  </si>
  <si>
    <t>110</t>
  </si>
  <si>
    <t>Расходы на выплаты персоналу казенных учреждений</t>
  </si>
  <si>
    <t>Уплата налогов,сборов и иных платежей</t>
  </si>
  <si>
    <t>0642107</t>
  </si>
  <si>
    <t>Обеспечение деятельности МБУ "Служба муниципального заказа"</t>
  </si>
  <si>
    <t>610</t>
  </si>
  <si>
    <t>Субсидии бюджетным учреждениям</t>
  </si>
  <si>
    <t>0642108</t>
  </si>
  <si>
    <t>0644610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</si>
  <si>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</si>
  <si>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0200</t>
  </si>
  <si>
    <t>Национальная оборона</t>
  </si>
  <si>
    <t>0203</t>
  </si>
  <si>
    <t>Мобилизационная и вневойсковая подготовка</t>
  </si>
  <si>
    <t>8005118</t>
  </si>
  <si>
    <t>Осуществление первичного воинского учета на территориях, где отсутствуют военные комиссариаты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</si>
  <si>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</si>
  <si>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</si>
  <si>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</si>
  <si>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</si>
  <si>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0700000</t>
  </si>
  <si>
    <t xml:space="preserve">Муниципальная программа "Развитие гражданской обороны, защиты населения и территории городского округа Нижняя Салда от чрезвычайных ситуаций природного и техногенного характера, обеспечение пожарной безопасности и безопасности людей на водных объектах на </t>
  </si>
  <si>
    <t>0710000</t>
  </si>
  <si>
    <t>Подпрограмма Гражданская оборона и предупреждение чрезвычайных ситуаций на территории городского округа Нижняя Салда на 2014-2020 годы</t>
  </si>
  <si>
    <t>0712201</t>
  </si>
  <si>
    <t>Поддержание в состоянии постоянной готовности к использованию систем оповещения населения об опасностях, возникающих при ведении военных действий или вследствие этих действий</t>
  </si>
  <si>
    <t>0712205</t>
  </si>
  <si>
    <t>Обеспечение безопасности людей на водных объектах, предотвращение несчастных случаев на водоемах</t>
  </si>
  <si>
    <t>93</t>
  </si>
  <si>
    <t>94</t>
  </si>
  <si>
    <t>0712206</t>
  </si>
  <si>
    <t>Содержание МКУ ЕДДС</t>
  </si>
  <si>
    <t>95</t>
  </si>
  <si>
    <t>96</t>
  </si>
  <si>
    <t>97</t>
  </si>
  <si>
    <t>Уплата налогов сборов и иных платежей</t>
  </si>
  <si>
    <t>98</t>
  </si>
  <si>
    <t>0712207</t>
  </si>
  <si>
    <t>99</t>
  </si>
  <si>
    <t>100</t>
  </si>
  <si>
    <t>0310</t>
  </si>
  <si>
    <t>Обеспечение пожарной безопасности</t>
  </si>
  <si>
    <t>101</t>
  </si>
  <si>
    <t>102</t>
  </si>
  <si>
    <t>0720000</t>
  </si>
  <si>
    <t>Подпрограмма Обеспечение первичных мер пожарной безопасности на территории городского округа Нижняя Салда</t>
  </si>
  <si>
    <t>103</t>
  </si>
  <si>
    <t>0722202</t>
  </si>
  <si>
    <t xml:space="preserve">Создание условий для организации добровольной пожарной охраны, принятие мер по локализации пожара и спасения людей и имущества до прибытия подразделений Государственной противопожарной службы </t>
  </si>
  <si>
    <t>104</t>
  </si>
  <si>
    <t>105</t>
  </si>
  <si>
    <t>0722204</t>
  </si>
  <si>
    <t>106</t>
  </si>
  <si>
    <t>107</t>
  </si>
  <si>
    <t>360</t>
  </si>
  <si>
    <t>Иные выплаты населению</t>
  </si>
  <si>
    <t>108</t>
  </si>
  <si>
    <t>0314</t>
  </si>
  <si>
    <t>Другие  вопросы в области национальной безопасности и правоохранительной деятельности</t>
  </si>
  <si>
    <t>109</t>
  </si>
  <si>
    <t>0100000</t>
  </si>
  <si>
    <t>Муниципальная программа "Профилактика правонарушений в городском округе Нижняя Салда до 2020 года"</t>
  </si>
  <si>
    <t>0102205</t>
  </si>
  <si>
    <t>Организация приобретения и установки на улицах и в местах массового пребывания людей средств видеонаблюдения</t>
  </si>
  <si>
    <t>111</t>
  </si>
  <si>
    <t>112</t>
  </si>
  <si>
    <t>0102206</t>
  </si>
  <si>
    <t>Организация обслуживания систем видеонаблюдения</t>
  </si>
  <si>
    <t>113</t>
  </si>
  <si>
    <t>114</t>
  </si>
  <si>
    <t>0102223</t>
  </si>
  <si>
    <t xml:space="preserve">Предоставление единовременной помощи лицам БОМЖ и лицам,освободившимся из мест лишения свободы для оформления паспортов </t>
  </si>
  <si>
    <t>115</t>
  </si>
  <si>
    <t>116</t>
  </si>
  <si>
    <t>1500000</t>
  </si>
  <si>
    <t xml:space="preserve">Муниципальная программа "Гармонизация межнациональных отношений,профилактика экстремизма и терроризма на территории городского округа Нижняя Салда на 2015- 2020 годы" </t>
  </si>
  <si>
    <t>117</t>
  </si>
  <si>
    <t>1502215</t>
  </si>
  <si>
    <t>Обеспечение дополнительными мерами антитеррористической и противодиверсионной защищенности объектов дошколных образовательных учреждений (установка домофонов)</t>
  </si>
  <si>
    <t>118</t>
  </si>
  <si>
    <t>0400</t>
  </si>
  <si>
    <t>Национальная экономика</t>
  </si>
  <si>
    <t>119</t>
  </si>
  <si>
    <t>0405</t>
  </si>
  <si>
    <t>Сельское хозяйство и рыболовство</t>
  </si>
  <si>
    <t>1400000</t>
  </si>
  <si>
    <t xml:space="preserve">Муниципальная программа «Развитие и поддержка  субъектов малого и среднего предпринимательства и
агропромышленного комплекса в городском округе  Нижняя Салда на 2014-2020 годы»
</t>
  </si>
  <si>
    <t>121</t>
  </si>
  <si>
    <t>1402303</t>
  </si>
  <si>
    <t>Оказание финансовой поддержки  крестьянско-фермерским хозяйствам   городского округа Нижняя Салда (предоставление субсидий  из местного бюджета)</t>
  </si>
  <si>
    <t>122</t>
  </si>
  <si>
    <t>810</t>
  </si>
  <si>
    <t xml:space="preserve">Субсидии юридическим лицам
(кроме некоммерческих организаций), индивидуальным
предпринимателям, физическим лицам
</t>
  </si>
  <si>
    <t>123</t>
  </si>
  <si>
    <t>0406</t>
  </si>
  <si>
    <t>Водное хозяйство</t>
  </si>
  <si>
    <t>124</t>
  </si>
  <si>
    <t>1300000</t>
  </si>
  <si>
    <t>Муниципальная программа "Обеспечение рационального и безопасного природопользования на территории городского округа Нижняя Салда до 2020 года</t>
  </si>
  <si>
    <t>125</t>
  </si>
  <si>
    <t>1320000</t>
  </si>
  <si>
    <t>Подпрограмма Развитие водохозяйственного комплекса в городском округе Нижняя Салда на 2014-2020 годы</t>
  </si>
  <si>
    <t>126</t>
  </si>
  <si>
    <t>1322302</t>
  </si>
  <si>
    <t>Обслуживание гидроузла</t>
  </si>
  <si>
    <t>127</t>
  </si>
  <si>
    <t>128</t>
  </si>
  <si>
    <t>1322303</t>
  </si>
  <si>
    <t>129</t>
  </si>
  <si>
    <t>130</t>
  </si>
  <si>
    <t>0407</t>
  </si>
  <si>
    <t>Лесное хозяйство</t>
  </si>
  <si>
    <t>131</t>
  </si>
  <si>
    <t>132</t>
  </si>
  <si>
    <t>1330000</t>
  </si>
  <si>
    <t>Подпрограмма Организация использования и охраны лесов городского округа Нижняя Салда</t>
  </si>
  <si>
    <t>133</t>
  </si>
  <si>
    <t>1332302</t>
  </si>
  <si>
    <t>Мероприятия по лесохозяйственному регламенту для городских лесов</t>
  </si>
  <si>
    <t>134</t>
  </si>
  <si>
    <t>135</t>
  </si>
  <si>
    <t>0409</t>
  </si>
  <si>
    <t>Дорожное хозяйство (дорожные фонды)</t>
  </si>
  <si>
    <t>136</t>
  </si>
  <si>
    <t>0400000</t>
  </si>
  <si>
    <t xml:space="preserve">Муниципальная программа городского округа Нижняя Салда
«Развитие транспорта и  дорожного хозяйства городского округа Нижняя Салда  до 2020 года»
</t>
  </si>
  <si>
    <t>137</t>
  </si>
  <si>
    <t>0410000</t>
  </si>
  <si>
    <t>Подпрограмма Развитие дорожного хозяйства в городском округе Нижняя Салда на 2014-2020 годы</t>
  </si>
  <si>
    <t>138</t>
  </si>
  <si>
    <t>0412401</t>
  </si>
  <si>
    <t>Содержание автомобильных дорог общего пользования и сооружений на них</t>
  </si>
  <si>
    <t>139</t>
  </si>
  <si>
    <t>140</t>
  </si>
  <si>
    <t>141</t>
  </si>
  <si>
    <t>0412402</t>
  </si>
  <si>
    <t>Капитальный ремонт и ремонт автомобильных дорог общего пользования и сооружения на них</t>
  </si>
  <si>
    <t>142</t>
  </si>
  <si>
    <t>143</t>
  </si>
  <si>
    <t>0412404</t>
  </si>
  <si>
    <t>Проведение технического учета и паспортизации автомобильных дорог, находящихся в муниципальной собственности городского округа Нижняя Салда</t>
  </si>
  <si>
    <t>144</t>
  </si>
  <si>
    <t>145</t>
  </si>
  <si>
    <t>0412406</t>
  </si>
  <si>
    <t>Содержание и ремонт тротуаров</t>
  </si>
  <si>
    <t>146</t>
  </si>
  <si>
    <t>147</t>
  </si>
  <si>
    <t>0412407</t>
  </si>
  <si>
    <t>148</t>
  </si>
  <si>
    <t>149</t>
  </si>
  <si>
    <t>0430000</t>
  </si>
  <si>
    <t>Подпрограмма Повышение безопасности дорожного движения на территории городского округа Нижняя Салда до 2020 года</t>
  </si>
  <si>
    <t>150</t>
  </si>
  <si>
    <t>0432401</t>
  </si>
  <si>
    <t>Осуществление мероприятий по повышению уровня защищенности участников дорожного движения</t>
  </si>
  <si>
    <t>151</t>
  </si>
  <si>
    <t>152</t>
  </si>
  <si>
    <t>0432404</t>
  </si>
  <si>
    <t>Осуществление мероприятий по повышению уровня обучения правильному поведению на улично-дорожной сети детей и подростков</t>
  </si>
  <si>
    <t>153</t>
  </si>
  <si>
    <t>154</t>
  </si>
  <si>
    <t>0432405</t>
  </si>
  <si>
    <t>Организация мероприятий по приведению в удовлетворительное состояние дворовых территорий</t>
  </si>
  <si>
    <t>155</t>
  </si>
  <si>
    <t>156</t>
  </si>
  <si>
    <t>0432406</t>
  </si>
  <si>
    <t>157</t>
  </si>
  <si>
    <t>158</t>
  </si>
  <si>
    <t>0410</t>
  </si>
  <si>
    <t>Связь и информатика</t>
  </si>
  <si>
    <t>159</t>
  </si>
  <si>
    <t>1200000</t>
  </si>
  <si>
    <t>Муниципальная программа «Информационное общество городского округа Нижняя Салда на 2014-2020 годы"</t>
  </si>
  <si>
    <t>160</t>
  </si>
  <si>
    <t>1210000</t>
  </si>
  <si>
    <t>Подпрограмма Совершенствование информационно-технической инфраструктуры</t>
  </si>
  <si>
    <t>161</t>
  </si>
  <si>
    <t>1213201</t>
  </si>
  <si>
    <t>Развитие и обеспечение эксплуатации единой компьютерной сети администрации</t>
  </si>
  <si>
    <t>162</t>
  </si>
  <si>
    <t>163</t>
  </si>
  <si>
    <t>1213203</t>
  </si>
  <si>
    <t>Внедрение элементов системы защиты информации в единой компьютерной сети</t>
  </si>
  <si>
    <t>164</t>
  </si>
  <si>
    <t>165</t>
  </si>
  <si>
    <t>1220000</t>
  </si>
  <si>
    <t>Подпрограмма Организация центров общественного доступа к сети Интеренет на базе общедоступных муниципальных библиотек</t>
  </si>
  <si>
    <t>166</t>
  </si>
  <si>
    <t>1223201</t>
  </si>
  <si>
    <t>Организация центров общественного доступа к сети Интеренет на базе общедоступных муниципальных библиотек</t>
  </si>
  <si>
    <t>167</t>
  </si>
  <si>
    <t>168</t>
  </si>
  <si>
    <t>1224140</t>
  </si>
  <si>
    <t>Организация центров общественного доступа к сети Интернет на базе общедоступных муниципальных библиотек за счет субсидий из областного бюджета</t>
  </si>
  <si>
    <t>169</t>
  </si>
  <si>
    <t>170</t>
  </si>
  <si>
    <t>1240000</t>
  </si>
  <si>
    <t>Внедрение инновационных технологий в работу органов местного самоуправления  городского округа.</t>
  </si>
  <si>
    <t>171</t>
  </si>
  <si>
    <t>1243201</t>
  </si>
  <si>
    <t>Приобретение компьютерной техники и лицензионного программного обеспечения</t>
  </si>
  <si>
    <t>172</t>
  </si>
  <si>
    <t>173</t>
  </si>
  <si>
    <t>1250000</t>
  </si>
  <si>
    <t>Подпрограмма Обеспечение подключения к единой сети передачи данных Правительства Свердловской области муниципальных учреждений</t>
  </si>
  <si>
    <t>174</t>
  </si>
  <si>
    <t>1253201</t>
  </si>
  <si>
    <t>Обеспечение подключения к единой сети передачи данных Правительства Свердловской области муниципальных учреждений</t>
  </si>
  <si>
    <t>175</t>
  </si>
  <si>
    <t>176</t>
  </si>
  <si>
    <t>1254140</t>
  </si>
  <si>
    <t>Обеспечение подключения к единой сети передачи данных Правительства Свердловской области муниципальных учреждений за счет субсидий из областного бюджета</t>
  </si>
  <si>
    <t>177</t>
  </si>
  <si>
    <t>178</t>
  </si>
  <si>
    <t>0412</t>
  </si>
  <si>
    <t>Другие вопросы в области национальной экономики</t>
  </si>
  <si>
    <t>179</t>
  </si>
  <si>
    <t>180</t>
  </si>
  <si>
    <t>0520000</t>
  </si>
  <si>
    <t>Подпрограмма Актуализация сведений государственного кадастра недвижимости в городском  округе  Нижняя Салда</t>
  </si>
  <si>
    <t>181</t>
  </si>
  <si>
    <t>0522305</t>
  </si>
  <si>
    <t>Проведение кадастровых работ  (проведение межевания земельных участков, постановка на государственный кадастровый учет)</t>
  </si>
  <si>
    <t>182</t>
  </si>
  <si>
    <t>183</t>
  </si>
  <si>
    <t>0522306</t>
  </si>
  <si>
    <t>Проведение работ по независимой оценке права аренды, собственности на земельные участки, предоставляемые под строительство на торгах</t>
  </si>
  <si>
    <t>184</t>
  </si>
  <si>
    <t>185</t>
  </si>
  <si>
    <t>0522307</t>
  </si>
  <si>
    <t>Проведение работ по формированию земельных участков, предоставляемых в собственность льготным категориям граждан</t>
  </si>
  <si>
    <t>186</t>
  </si>
  <si>
    <t>187</t>
  </si>
  <si>
    <t>0530000</t>
  </si>
  <si>
    <t>Подпрограмма Развитие градостроительной деятельности на территории городского округа Нижняя Салда до 2020 года</t>
  </si>
  <si>
    <t>188</t>
  </si>
  <si>
    <t>0532309</t>
  </si>
  <si>
    <t>Разработка проекта генерального плана города</t>
  </si>
  <si>
    <t>189</t>
  </si>
  <si>
    <t xml:space="preserve">Иные закупки товаров, работ и услуг для обеспечения государственных (муниципальных) нужд
</t>
  </si>
  <si>
    <t>190</t>
  </si>
  <si>
    <t>0532312</t>
  </si>
  <si>
    <t>Приобретение базовой программы ведения информационной системы градостроительной деятельности</t>
  </si>
  <si>
    <t>191</t>
  </si>
  <si>
    <t>192</t>
  </si>
  <si>
    <t>0532313</t>
  </si>
  <si>
    <t>Проведение работ по расширению границ с.Медведево, проведение межевания и создание карты-плана территории</t>
  </si>
  <si>
    <t>193</t>
  </si>
  <si>
    <t>194</t>
  </si>
  <si>
    <t>195</t>
  </si>
  <si>
    <t>1402301</t>
  </si>
  <si>
    <t>Оказание финансовой поддержки субъектам малого и среднего предпринимательства городского округа Нижняя Салда (предоставление субсидий  из местного бюджета)</t>
  </si>
  <si>
    <t>196</t>
  </si>
  <si>
    <t>197</t>
  </si>
  <si>
    <t>1402302</t>
  </si>
  <si>
    <t>Организация и повышение квалификации  руководителей и сотрудников малых и средних   предприятий городского округа Нижняя Салда</t>
  </si>
  <si>
    <t>198</t>
  </si>
  <si>
    <t>199</t>
  </si>
  <si>
    <t>0500</t>
  </si>
  <si>
    <t>Жилищно-коммунальное хозяйство</t>
  </si>
  <si>
    <t>200</t>
  </si>
  <si>
    <t>0501</t>
  </si>
  <si>
    <t>Жилищное хозяйство</t>
  </si>
  <si>
    <t>201</t>
  </si>
  <si>
    <t>0300000</t>
  </si>
  <si>
    <t xml:space="preserve">Муниципальная программа «Развитие жилищно-коммунального хозяйства и повышение энергетической 
эффективности в городском округе Нижняя Салда до 2020 года»
</t>
  </si>
  <si>
    <t>202</t>
  </si>
  <si>
    <t>0310000</t>
  </si>
  <si>
    <t>Подпрограмма Развитие жилищного хозяйства в городском округе Нижняя Салда на 2014 – 2020 годы</t>
  </si>
  <si>
    <t>203</t>
  </si>
  <si>
    <t>0312301</t>
  </si>
  <si>
    <t>Взносы на капитальный ремонт общего имущества муниципального жилищного фонда в Региональный фонд</t>
  </si>
  <si>
    <t>204</t>
  </si>
  <si>
    <t>Уплата налогов, сборов и иных платежей</t>
  </si>
  <si>
    <t>205</t>
  </si>
  <si>
    <t>0312304</t>
  </si>
  <si>
    <t>206</t>
  </si>
  <si>
    <t>207</t>
  </si>
  <si>
    <t>0502</t>
  </si>
  <si>
    <t>Коммунальное хозяйство</t>
  </si>
  <si>
    <t>208</t>
  </si>
  <si>
    <t>209</t>
  </si>
  <si>
    <t>0320000</t>
  </si>
  <si>
    <t>Подпрограмма Развитие коммунального хозяйства в городском округе Нижняя Салда на 2014 – 2020 годы</t>
  </si>
  <si>
    <t>210</t>
  </si>
  <si>
    <t>0322303</t>
  </si>
  <si>
    <t>211</t>
  </si>
  <si>
    <t>212</t>
  </si>
  <si>
    <t>0360000</t>
  </si>
  <si>
    <t>Подпрограмма Энергосбережение и повышение энергетической эффективности в городском округе Нижняя Салда на 2014 – 2020 годы</t>
  </si>
  <si>
    <t>213</t>
  </si>
  <si>
    <t>0362302</t>
  </si>
  <si>
    <t>Мероприятия направленные на энергосбережение и повышение энергетической эффективности в муниципальной сфере</t>
  </si>
  <si>
    <t>214</t>
  </si>
  <si>
    <t>215</t>
  </si>
  <si>
    <t>0362303</t>
  </si>
  <si>
    <t>Оснащение многоквартирных домов  приборами учета потребления энергетических ресурсов</t>
  </si>
  <si>
    <t>216</t>
  </si>
  <si>
    <t>217</t>
  </si>
  <si>
    <t>0362304</t>
  </si>
  <si>
    <t>218</t>
  </si>
  <si>
    <t>219</t>
  </si>
  <si>
    <t>0364290</t>
  </si>
  <si>
    <t>Субсидии из областного бюджета на предоставление субсидий на реализацию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</t>
  </si>
  <si>
    <t>220</t>
  </si>
  <si>
    <t>221</t>
  </si>
  <si>
    <t>0370000</t>
  </si>
  <si>
    <t>Подпрограмма Модернизация жилищно-коммунального хозяйства для улучшения качества коммунальных услуг для населения городского округа Нижняя Салда</t>
  </si>
  <si>
    <t>222</t>
  </si>
  <si>
    <t>0372301</t>
  </si>
  <si>
    <t>Приобретение коммунальной техники</t>
  </si>
  <si>
    <t>223</t>
  </si>
  <si>
    <t>224</t>
  </si>
  <si>
    <t>0372302</t>
  </si>
  <si>
    <t>Модернизации объектов инженерной инфраструктуры и модернизация существующих систем объектов коммунальной инфраструктуры</t>
  </si>
  <si>
    <t>225</t>
  </si>
  <si>
    <t>226</t>
  </si>
  <si>
    <t>0503</t>
  </si>
  <si>
    <t>Благоустройство</t>
  </si>
  <si>
    <t>227</t>
  </si>
  <si>
    <t>228</t>
  </si>
  <si>
    <t>0330000</t>
  </si>
  <si>
    <t>Подпрограмма Развитие благоустройства в городском округе Нижняя Салда 2014-2020 годах</t>
  </si>
  <si>
    <t>229</t>
  </si>
  <si>
    <t>0332301</t>
  </si>
  <si>
    <t>Мероприятия по содержанию уличного освещения, оплата электроэнергии</t>
  </si>
  <si>
    <t>230</t>
  </si>
  <si>
    <t>231</t>
  </si>
  <si>
    <t>0332303</t>
  </si>
  <si>
    <t xml:space="preserve">Санитарная уборка городского округа Нижняя Салда </t>
  </si>
  <si>
    <t>232</t>
  </si>
  <si>
    <t>233</t>
  </si>
  <si>
    <t>0332305</t>
  </si>
  <si>
    <t>Комплекс работ по благоустройству территории городского округа Нижняя Салда</t>
  </si>
  <si>
    <t>234</t>
  </si>
  <si>
    <t>235</t>
  </si>
  <si>
    <t>0332307</t>
  </si>
  <si>
    <t>Уборка несанкционированных свалок</t>
  </si>
  <si>
    <t>236</t>
  </si>
  <si>
    <t>237</t>
  </si>
  <si>
    <t>0332308</t>
  </si>
  <si>
    <t>Обеспечение населения городского округа Нижняя Салда питьевой водой стандартного качества</t>
  </si>
  <si>
    <t>238</t>
  </si>
  <si>
    <t>239</t>
  </si>
  <si>
    <t>0332309</t>
  </si>
  <si>
    <t>Улучшение санитарного состояния территории городского округа Нижняя Салда</t>
  </si>
  <si>
    <t>241</t>
  </si>
  <si>
    <t>0332310</t>
  </si>
  <si>
    <t>Мероприятия по обеспечению бытовыми услугами (городская баня)</t>
  </si>
  <si>
    <t>242</t>
  </si>
  <si>
    <t>243</t>
  </si>
  <si>
    <t>0332311</t>
  </si>
  <si>
    <t>244</t>
  </si>
  <si>
    <t>245</t>
  </si>
  <si>
    <t>246</t>
  </si>
  <si>
    <t>0340000</t>
  </si>
  <si>
    <t>Подпрограмма Восстановление и развитие объектов внешнего благоустройства в городском округе Нижняя Салда на 2014-2020 годы</t>
  </si>
  <si>
    <t>247</t>
  </si>
  <si>
    <t>0342301</t>
  </si>
  <si>
    <t>Реконструкция и капитальный ремонт дворовых территорий</t>
  </si>
  <si>
    <t>248</t>
  </si>
  <si>
    <t>249</t>
  </si>
  <si>
    <t>0342302</t>
  </si>
  <si>
    <t>Содержание объектов благоустройства (малые архитектурные формы)</t>
  </si>
  <si>
    <t>250</t>
  </si>
  <si>
    <t>251</t>
  </si>
  <si>
    <t>252</t>
  </si>
  <si>
    <t>0342303</t>
  </si>
  <si>
    <t>Разработка проектно-сметной документации для проведения работ по благоустройству городского округа Нижняя Салда</t>
  </si>
  <si>
    <t>253</t>
  </si>
  <si>
    <t>254</t>
  </si>
  <si>
    <t>0342304</t>
  </si>
  <si>
    <t>255</t>
  </si>
  <si>
    <t>256</t>
  </si>
  <si>
    <t>0505</t>
  </si>
  <si>
    <t>Другие вопросы в области жилищно-коммунального хозяйства</t>
  </si>
  <si>
    <t>257</t>
  </si>
  <si>
    <t>258</t>
  </si>
  <si>
    <t>0350000</t>
  </si>
  <si>
    <t>Подпрограмма Комплексное развитие коммунальной инфраструктуры городского округа Нижняя Салда на 2014 – 2020 годы</t>
  </si>
  <si>
    <t>259</t>
  </si>
  <si>
    <t>0352301</t>
  </si>
  <si>
    <t xml:space="preserve">Подготовка инвестиционных программ и мероприятия по модернизации объектов инженерной инфраструктуры и модернизации существующих систем объектов коммунальной инфраструктуры </t>
  </si>
  <si>
    <t>260</t>
  </si>
  <si>
    <t>261</t>
  </si>
  <si>
    <t>0352303</t>
  </si>
  <si>
    <t>262</t>
  </si>
  <si>
    <t>263</t>
  </si>
  <si>
    <t>0352305</t>
  </si>
  <si>
    <t>Актуализация программы комплексного развития коммунальной инфраструктуры городского округа Нижняя Салда</t>
  </si>
  <si>
    <t>264</t>
  </si>
  <si>
    <t>265</t>
  </si>
  <si>
    <t>8004270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</si>
  <si>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</si>
  <si>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266</t>
  </si>
  <si>
    <t>267</t>
  </si>
  <si>
    <t>0600</t>
  </si>
  <si>
    <t>Охрана окружающей среды</t>
  </si>
  <si>
    <t>268</t>
  </si>
  <si>
    <t>0605</t>
  </si>
  <si>
    <t>Другие вопросы в области охраны окружающей среды</t>
  </si>
  <si>
    <t>269</t>
  </si>
  <si>
    <t>270</t>
  </si>
  <si>
    <t>1310000</t>
  </si>
  <si>
    <t>Подпрограмма Экологическая безопасность городского округа Нижняя Салда</t>
  </si>
  <si>
    <t>271</t>
  </si>
  <si>
    <t>1312201</t>
  </si>
  <si>
    <t>Мероприятия по исследованию и обустройству источников нецентрализованного водоснабжения</t>
  </si>
  <si>
    <t>272</t>
  </si>
  <si>
    <t>273</t>
  </si>
  <si>
    <t>1312202</t>
  </si>
  <si>
    <t>Участие в ежегодном областном съезде по итогам реализации мероприятий по использованию, охране и  обустройству источников нецентрализованного водоснабжения на территории Свердловской области ("Родники")</t>
  </si>
  <si>
    <t>274</t>
  </si>
  <si>
    <t>275</t>
  </si>
  <si>
    <t>1312205</t>
  </si>
  <si>
    <t>Сбор, транспортировка и обезвреживание ртутьсодержащих ламп от населения частного сектора</t>
  </si>
  <si>
    <t>276</t>
  </si>
  <si>
    <t>277</t>
  </si>
  <si>
    <t>1312207</t>
  </si>
  <si>
    <t>Организация и проведение массовых экологических акций</t>
  </si>
  <si>
    <t>278</t>
  </si>
  <si>
    <t>279</t>
  </si>
  <si>
    <t>1312208</t>
  </si>
  <si>
    <t>Финансирование экспозиции "Диорама природы родного края"</t>
  </si>
  <si>
    <t>280</t>
  </si>
  <si>
    <t>281</t>
  </si>
  <si>
    <t>1312209</t>
  </si>
  <si>
    <t>282</t>
  </si>
  <si>
    <t>283</t>
  </si>
  <si>
    <t>0700</t>
  </si>
  <si>
    <t>Образование</t>
  </si>
  <si>
    <t>284</t>
  </si>
  <si>
    <t>0701</t>
  </si>
  <si>
    <t>Дошкольное образование</t>
  </si>
  <si>
    <t>285</t>
  </si>
  <si>
    <t>0800000</t>
  </si>
  <si>
    <t>Муниципальная программа "Развитие системы образования в городском округе Нижняя Салда на 2014-2020 годы"</t>
  </si>
  <si>
    <t>286</t>
  </si>
  <si>
    <t>0810000</t>
  </si>
  <si>
    <t>Подпрограмма «Развитие системы дошкольного образования в городском округе Нижняя Салда»</t>
  </si>
  <si>
    <t>287</t>
  </si>
  <si>
    <t>0812501</t>
  </si>
  <si>
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</si>
  <si>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288</t>
  </si>
  <si>
    <t>289</t>
  </si>
  <si>
    <t>0812502</t>
  </si>
  <si>
    <t>290</t>
  </si>
  <si>
    <t>291</t>
  </si>
  <si>
    <t>0814510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</si>
  <si>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</si>
  <si>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292</t>
  </si>
  <si>
    <t>0814511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</si>
  <si>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</t>
  </si>
  <si>
    <t>293</t>
  </si>
  <si>
    <t>294</t>
  </si>
  <si>
    <t>0814512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</si>
  <si>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</t>
  </si>
  <si>
    <t>295</t>
  </si>
  <si>
    <t>296</t>
  </si>
  <si>
    <t>0840000</t>
  </si>
  <si>
    <t xml:space="preserve">Подпрограмма «Укрепление и развитие материально-технической базы образовательных организаций
городского округа Нижняя Салда»
</t>
  </si>
  <si>
    <t>297</t>
  </si>
  <si>
    <t>0842503</t>
  </si>
  <si>
    <t>Строительство зданий дошкольных образовательных организаций</t>
  </si>
  <si>
    <t>298</t>
  </si>
  <si>
    <t>410</t>
  </si>
  <si>
    <t>Бюджетные инвестиции</t>
  </si>
  <si>
    <t>299</t>
  </si>
  <si>
    <t>0842504</t>
  </si>
  <si>
    <t>Расходы, связанные с обязательствами по строительству и реконструкции зданий дошкольных образовательных организаций</t>
  </si>
  <si>
    <t>300</t>
  </si>
  <si>
    <t>301</t>
  </si>
  <si>
    <t xml:space="preserve">Исполнение судебных актов
</t>
  </si>
  <si>
    <t>302</t>
  </si>
  <si>
    <t>08445Б0</t>
  </si>
  <si>
    <t>Строительство и реконструкция зданий дошкольных образовательных организаций</t>
  </si>
  <si>
    <t>303</t>
  </si>
  <si>
    <t>304</t>
  </si>
  <si>
    <t>0702</t>
  </si>
  <si>
    <t>Общее образование</t>
  </si>
  <si>
    <t>305</t>
  </si>
  <si>
    <t>306</t>
  </si>
  <si>
    <t>0820000</t>
  </si>
  <si>
    <t>Подпрограмма «Развитие системы общего образования в городском округе Нижняя Салда»</t>
  </si>
  <si>
    <t>307</t>
  </si>
  <si>
    <t>0822501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</si>
  <si>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</si>
  <si>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308</t>
  </si>
  <si>
    <t>309</t>
  </si>
  <si>
    <t>310</t>
  </si>
  <si>
    <t>311</t>
  </si>
  <si>
    <t>312</t>
  </si>
  <si>
    <t>620</t>
  </si>
  <si>
    <t>Субсидии автономным учреждениям</t>
  </si>
  <si>
    <t>313</t>
  </si>
  <si>
    <t>0822502</t>
  </si>
  <si>
    <t>314</t>
  </si>
  <si>
    <t>315</t>
  </si>
  <si>
    <t>0824530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</si>
  <si>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</t>
  </si>
  <si>
    <t>316</t>
  </si>
  <si>
    <t>0824531</t>
  </si>
  <si>
    <t>317</t>
  </si>
  <si>
    <t>318</t>
  </si>
  <si>
    <t>319</t>
  </si>
  <si>
    <t>0824532</t>
  </si>
  <si>
    <t>321</t>
  </si>
  <si>
    <t>322</t>
  </si>
  <si>
    <t>323</t>
  </si>
  <si>
    <t>324</t>
  </si>
  <si>
    <t>0824540</t>
  </si>
  <si>
    <t>Обеспечение питанием обучающихся в муниципальных общеобразовательных организациях</t>
  </si>
  <si>
    <t>325</t>
  </si>
  <si>
    <t>326</t>
  </si>
  <si>
    <t>327</t>
  </si>
  <si>
    <t>328</t>
  </si>
  <si>
    <t>0830000</t>
  </si>
  <si>
    <t>Подпрограмма «Развитие системы дополнительного образования, отдыха и оздоровления детей в городском округе Нижняя Салда»</t>
  </si>
  <si>
    <t>329</t>
  </si>
  <si>
    <t>0832501</t>
  </si>
  <si>
    <t>Организация предоставления дополнительного образования детей в муниципальных организациях дополнительного образования</t>
  </si>
  <si>
    <t>330</t>
  </si>
  <si>
    <t>331</t>
  </si>
  <si>
    <t>332</t>
  </si>
  <si>
    <t>333</t>
  </si>
  <si>
    <t>334</t>
  </si>
  <si>
    <t>335</t>
  </si>
  <si>
    <t>0832502</t>
  </si>
  <si>
    <t>336</t>
  </si>
  <si>
    <t>337</t>
  </si>
  <si>
    <t>338</t>
  </si>
  <si>
    <t>339</t>
  </si>
  <si>
    <t>0832503</t>
  </si>
  <si>
    <t>Развитие кружков технической направленности за счет средств местного бюджета</t>
  </si>
  <si>
    <t>340</t>
  </si>
  <si>
    <t>341</t>
  </si>
  <si>
    <t>0834660</t>
  </si>
  <si>
    <t>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</t>
  </si>
  <si>
    <t>342</t>
  </si>
  <si>
    <t>343</t>
  </si>
  <si>
    <t>344</t>
  </si>
  <si>
    <t>0842502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</si>
  <si>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</si>
  <si>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345</t>
  </si>
  <si>
    <t>346</t>
  </si>
  <si>
    <t>0844590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</si>
  <si>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 образовательные организации за счет средств областного бюджета</t>
  </si>
  <si>
    <t>347</t>
  </si>
  <si>
    <t>348</t>
  </si>
  <si>
    <t>0860000</t>
  </si>
  <si>
    <t>Подпрограмма "Уральская инженерная школа"</t>
  </si>
  <si>
    <t>349</t>
  </si>
  <si>
    <t>0862501</t>
  </si>
  <si>
    <t>Доля местного бюджета в рамках областной программы "Уральская инженерная школа"</t>
  </si>
  <si>
    <t>350</t>
  </si>
  <si>
    <t>351</t>
  </si>
  <si>
    <t>1000000</t>
  </si>
  <si>
    <t>Муниципальная программа "Развитие физической культуры, спорта и молодежной политики в городском округе Нижняя Салда до 2020 года"</t>
  </si>
  <si>
    <t>352</t>
  </si>
  <si>
    <t>1030000</t>
  </si>
  <si>
    <t>Подпрограмма Развитие образования в сфере физической культуры и спорта в городском округе Нижняя Салда</t>
  </si>
  <si>
    <t>353</t>
  </si>
  <si>
    <t>1032503</t>
  </si>
  <si>
    <t>Организация предоставления дополнительного образования детей в муниципальных организациях дополнительного образования спортивной направленности</t>
  </si>
  <si>
    <t>354</t>
  </si>
  <si>
    <t>355</t>
  </si>
  <si>
    <t>1032505</t>
  </si>
  <si>
    <t>356</t>
  </si>
  <si>
    <t>357</t>
  </si>
  <si>
    <t>0707</t>
  </si>
  <si>
    <t>Молодежная политика и оздоровление детей</t>
  </si>
  <si>
    <t>358</t>
  </si>
  <si>
    <t>359</t>
  </si>
  <si>
    <t>Организация отдыха и оздоровления детей и подростков в городском округе Нижняя Салда</t>
  </si>
  <si>
    <t>361</t>
  </si>
  <si>
    <t>362</t>
  </si>
  <si>
    <t>363</t>
  </si>
  <si>
    <t>364</t>
  </si>
  <si>
    <t>365</t>
  </si>
  <si>
    <t>366</t>
  </si>
  <si>
    <t>0832504</t>
  </si>
  <si>
    <t>Организация молодежной биржы труда</t>
  </si>
  <si>
    <t>367</t>
  </si>
  <si>
    <t>368</t>
  </si>
  <si>
    <t>369</t>
  </si>
  <si>
    <t>0834560</t>
  </si>
  <si>
    <t>Организация отдыха детей в каникулярное время</t>
  </si>
  <si>
    <t>370</t>
  </si>
  <si>
    <t>371</t>
  </si>
  <si>
    <t>372</t>
  </si>
  <si>
    <t>373</t>
  </si>
  <si>
    <t>374</t>
  </si>
  <si>
    <t>375</t>
  </si>
  <si>
    <t>1040000</t>
  </si>
  <si>
    <t>Подпрограмма Развитие потенциала молодежи в городском округе Нижняя Салда</t>
  </si>
  <si>
    <t>376</t>
  </si>
  <si>
    <t>1042506</t>
  </si>
  <si>
    <t>Обеспечение осуществления мероприятий по работе с молодежью</t>
  </si>
  <si>
    <t>377</t>
  </si>
  <si>
    <t>378</t>
  </si>
  <si>
    <t>630</t>
  </si>
  <si>
    <t>Субсидии некоммерческим организациям (за исключением государственных (муниципальных) учреждений)</t>
  </si>
  <si>
    <t>379</t>
  </si>
  <si>
    <t>1060000</t>
  </si>
  <si>
    <t>Подпрограмма «Патриотическое воспитание граждан в городском округе Нижняя Салда»</t>
  </si>
  <si>
    <t>380</t>
  </si>
  <si>
    <t>1062508</t>
  </si>
  <si>
    <t>Патриотическое воспитание граждан. Организация участия и проведения учебных сборов</t>
  </si>
  <si>
    <t>381</t>
  </si>
  <si>
    <t>382</t>
  </si>
  <si>
    <t>0709</t>
  </si>
  <si>
    <t>Другие вопросы в области образования</t>
  </si>
  <si>
    <t>383</t>
  </si>
  <si>
    <t>384</t>
  </si>
  <si>
    <t>0850000</t>
  </si>
  <si>
    <t xml:space="preserve">Подпрограмма «Обеспечение реализации муниципальной программы «Развитие системы образования городского округа Нижняя Салда до 2020 года»
</t>
  </si>
  <si>
    <t>385</t>
  </si>
  <si>
    <t>0852501</t>
  </si>
  <si>
    <t>Организация и проведение городских мероприятий в сфере образования</t>
  </si>
  <si>
    <t>386</t>
  </si>
  <si>
    <t>387</t>
  </si>
  <si>
    <t>0852502</t>
  </si>
  <si>
    <t>Обеспечение деятельности аппарата управления образования</t>
  </si>
  <si>
    <t>388</t>
  </si>
  <si>
    <t>389</t>
  </si>
  <si>
    <t>390</t>
  </si>
  <si>
    <t>391</t>
  </si>
  <si>
    <t>0852503</t>
  </si>
  <si>
    <t>392</t>
  </si>
  <si>
    <t>393</t>
  </si>
  <si>
    <t>0852504</t>
  </si>
  <si>
    <t>Обеспечение деятельности аппарата МКУ "ЦБ"</t>
  </si>
  <si>
    <t>394</t>
  </si>
  <si>
    <t>395</t>
  </si>
  <si>
    <t>396</t>
  </si>
  <si>
    <t>397</t>
  </si>
  <si>
    <t>0800</t>
  </si>
  <si>
    <t>Культура, кинематография</t>
  </si>
  <si>
    <t>398</t>
  </si>
  <si>
    <t>0801</t>
  </si>
  <si>
    <t>Культура</t>
  </si>
  <si>
    <t>399</t>
  </si>
  <si>
    <t>0900000</t>
  </si>
  <si>
    <t>Муниципальная программа "Развитие культуры в городском округе Нижняя Салда до 2020 года"</t>
  </si>
  <si>
    <t>400</t>
  </si>
  <si>
    <t>0910000</t>
  </si>
  <si>
    <t>Подпрограмма Развитие деятельности культурно-досуговой сферы</t>
  </si>
  <si>
    <t>401</t>
  </si>
  <si>
    <t>0912601</t>
  </si>
  <si>
    <t>Организация деятельности учреждений культурно-досуговой сферы</t>
  </si>
  <si>
    <t>402</t>
  </si>
  <si>
    <t>403</t>
  </si>
  <si>
    <t>0912603</t>
  </si>
  <si>
    <t>404</t>
  </si>
  <si>
    <t>405</t>
  </si>
  <si>
    <t>0920000</t>
  </si>
  <si>
    <t>Подпрограмма Развитие музейной деятельности</t>
  </si>
  <si>
    <t>406</t>
  </si>
  <si>
    <t>0922603</t>
  </si>
  <si>
    <t>Организация деятельности МБУК "Нижнесалдинский музей", приобретение и хранение музейных предметов и музейных коллекций</t>
  </si>
  <si>
    <t>407</t>
  </si>
  <si>
    <t>408</t>
  </si>
  <si>
    <t>0922604</t>
  </si>
  <si>
    <t xml:space="preserve">Информатизация муниципального  учреждения "Нижнесалдинский музей", в том числе приобретение компьютерного оборудования и лицензионного программного обеспечения, подключение музеев к сети Интернет </t>
  </si>
  <si>
    <t>409</t>
  </si>
  <si>
    <t>0922605</t>
  </si>
  <si>
    <t>Капитальный ремонт МБУК "Нижнесалдинский музей"</t>
  </si>
  <si>
    <t>411</t>
  </si>
  <si>
    <t>412</t>
  </si>
  <si>
    <t>0930000</t>
  </si>
  <si>
    <t>Подпрограмма Развитие библиотечной деятельности</t>
  </si>
  <si>
    <t>413</t>
  </si>
  <si>
    <t>0932607</t>
  </si>
  <si>
    <t>Организация библиотечного обслуживания населения, формирование и хранение библиотечных фондов муниципальных библиотек</t>
  </si>
  <si>
    <t>414</t>
  </si>
  <si>
    <t>415</t>
  </si>
  <si>
    <t>0932608</t>
  </si>
  <si>
    <t>Информатизация муниципальных        
библиотек, в том числе комплектование книжных фондов (включая приобретение электронных версий книг и приобретение  (подписку) периодических изданий), приобретение компьютерного оборудования и лицензионного программного</t>
  </si>
  <si>
    <t>416</t>
  </si>
  <si>
    <t>417</t>
  </si>
  <si>
    <t>0804</t>
  </si>
  <si>
    <t>Другие вопросы в области культуры, кинематографии</t>
  </si>
  <si>
    <t>418</t>
  </si>
  <si>
    <t>419</t>
  </si>
  <si>
    <t>0940000</t>
  </si>
  <si>
    <t>Подпрограмма Обеспечение реализации муниципальной программы "Развитие культуры в городском округе Нижняя Салда до 2020 года"</t>
  </si>
  <si>
    <t>420</t>
  </si>
  <si>
    <t>0942608</t>
  </si>
  <si>
    <t>Обеспечение деятельности аппарата управления культуры</t>
  </si>
  <si>
    <t>421</t>
  </si>
  <si>
    <t>422</t>
  </si>
  <si>
    <t>423</t>
  </si>
  <si>
    <t>0942609</t>
  </si>
  <si>
    <t>Городские мероприятия в сфере культуры</t>
  </si>
  <si>
    <t>424</t>
  </si>
  <si>
    <t>425</t>
  </si>
  <si>
    <t>0942610</t>
  </si>
  <si>
    <t>Сохранение, использование, популяризация объектов культурного наследия</t>
  </si>
  <si>
    <t>426</t>
  </si>
  <si>
    <t>427</t>
  </si>
  <si>
    <t>0942611</t>
  </si>
  <si>
    <t>428</t>
  </si>
  <si>
    <t>429</t>
  </si>
  <si>
    <t>1000</t>
  </si>
  <si>
    <t>Социальная политика</t>
  </si>
  <si>
    <t>430</t>
  </si>
  <si>
    <t>1003</t>
  </si>
  <si>
    <t>Социальное обеспечение населения</t>
  </si>
  <si>
    <t>431</t>
  </si>
  <si>
    <t>0200000</t>
  </si>
  <si>
    <t>Муниципальная программа «Поддержка общественных организаций и отдельных категорий граждан городского округа Нижняя Салда до 2020 года»</t>
  </si>
  <si>
    <t>432</t>
  </si>
  <si>
    <t>0210000</t>
  </si>
  <si>
    <t xml:space="preserve">Подпрограмма Обеспечение жильем молодых семей в городском округе Нижняя Салда до 2020 года </t>
  </si>
  <si>
    <t>433</t>
  </si>
  <si>
    <t>0212901</t>
  </si>
  <si>
    <t>Предоставление социальных выплат молодым семьям на приобретение (строительство жилья)</t>
  </si>
  <si>
    <t>434</t>
  </si>
  <si>
    <t xml:space="preserve">Социальные выплаты гражданам, кроме публичных
нормативных социальных выплат
</t>
  </si>
  <si>
    <t>435</t>
  </si>
  <si>
    <t>0220000</t>
  </si>
  <si>
    <t>Подпрограмма Взаимодействие администрации городского округа Нижняя Салда с общественными организациями и отдельными категориями граждан на территории городского округа Нижняя Салда до 2020 года</t>
  </si>
  <si>
    <t>436</t>
  </si>
  <si>
    <t>0222907</t>
  </si>
  <si>
    <t>Предоставление компенсации Почетным гражданам городского округа Нижняя Салда ко Дню города и Новому году</t>
  </si>
  <si>
    <t>437</t>
  </si>
  <si>
    <t>Публичные нормативные социальные выплаты гражданам</t>
  </si>
  <si>
    <t>438</t>
  </si>
  <si>
    <t>0222908</t>
  </si>
  <si>
    <t>Предоставление единовременной компенсации на погребение в случае смерти Почетного гражданина городского округа Нижняя Салда</t>
  </si>
  <si>
    <t>439</t>
  </si>
  <si>
    <t xml:space="preserve"> Публичные нормативные социальные выплаты гражданам</t>
  </si>
  <si>
    <t>440</t>
  </si>
  <si>
    <t>441</t>
  </si>
  <si>
    <t>8004910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</si>
  <si>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</t>
  </si>
  <si>
    <t>442</t>
  </si>
  <si>
    <t>443</t>
  </si>
  <si>
    <t>444</t>
  </si>
  <si>
    <t>8004920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</si>
  <si>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</t>
  </si>
  <si>
    <t>445</t>
  </si>
  <si>
    <t>446</t>
  </si>
  <si>
    <t>447</t>
  </si>
  <si>
    <t>8005250</t>
  </si>
  <si>
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</t>
  </si>
  <si>
    <t>448</t>
  </si>
  <si>
    <t>449</t>
  </si>
  <si>
    <t>450</t>
  </si>
  <si>
    <t>1006</t>
  </si>
  <si>
    <t>Другие вопросы в области социальной политики</t>
  </si>
  <si>
    <t>451</t>
  </si>
  <si>
    <t>452</t>
  </si>
  <si>
    <t>453</t>
  </si>
  <si>
    <t>0222901</t>
  </si>
  <si>
    <t>Проведение культурно – массовых и спортивных мероприятий для инвалидов</t>
  </si>
  <si>
    <t>454</t>
  </si>
  <si>
    <t>455</t>
  </si>
  <si>
    <t>0222902</t>
  </si>
  <si>
    <t>Приобретение аксессуаров, цветов для поминальных церемоний</t>
  </si>
  <si>
    <t>456</t>
  </si>
  <si>
    <t>457</t>
  </si>
  <si>
    <t>0222903</t>
  </si>
  <si>
    <t>Проведение культурно – массовых мероприятий для ветеранов</t>
  </si>
  <si>
    <t>458</t>
  </si>
  <si>
    <t>459</t>
  </si>
  <si>
    <t>0222904</t>
  </si>
  <si>
    <t>Приобретение оборудования и хоз.инвентаря для общественных организаций</t>
  </si>
  <si>
    <t>460</t>
  </si>
  <si>
    <t>461</t>
  </si>
  <si>
    <t>0222905</t>
  </si>
  <si>
    <t>Поощрение ветеранов</t>
  </si>
  <si>
    <t>462</t>
  </si>
  <si>
    <t>463</t>
  </si>
  <si>
    <t>464</t>
  </si>
  <si>
    <t>0222906</t>
  </si>
  <si>
    <t>Предоставление компенсации за проезд на транспорте инвалидам в Государственное учреждение здравоохранения СО «Медицинский центр «Диализ» города Нижний Тагил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</si>
  <si>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</si>
  <si>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</si>
  <si>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</si>
  <si>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</si>
  <si>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</si>
  <si>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</si>
  <si>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</si>
  <si>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</si>
  <si>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</si>
  <si>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1100</t>
  </si>
  <si>
    <t>Физическая культура и спорт</t>
  </si>
  <si>
    <t>474</t>
  </si>
  <si>
    <t>1102</t>
  </si>
  <si>
    <t>Массовый спорт</t>
  </si>
  <si>
    <t>475</t>
  </si>
  <si>
    <t>476</t>
  </si>
  <si>
    <t>1010000</t>
  </si>
  <si>
    <t>Подпрограмма Развитие физической культуры и спорта в городском округе Нижняя Салда</t>
  </si>
  <si>
    <t>477</t>
  </si>
  <si>
    <t>1012801</t>
  </si>
  <si>
    <t>Организация предоставления услуг (выполнения работ) в сфере физической культуры и спорта</t>
  </si>
  <si>
    <t>478</t>
  </si>
  <si>
    <t>479</t>
  </si>
  <si>
    <t>1012802</t>
  </si>
  <si>
    <t>480</t>
  </si>
  <si>
    <t>481</t>
  </si>
  <si>
    <t>482</t>
  </si>
  <si>
    <t>483</t>
  </si>
  <si>
    <t>484</t>
  </si>
  <si>
    <t>1105</t>
  </si>
  <si>
    <t>Другие вопросы в области физической культуры и спорта</t>
  </si>
  <si>
    <t>485</t>
  </si>
  <si>
    <t>486</t>
  </si>
  <si>
    <t>1050000</t>
  </si>
  <si>
    <t>Подпрограмма Обеспечение реализации муниципальной программы "Развитие физической культуры, спорта и молодежной политики в городском округе Нижняя Салда до 2020 года"</t>
  </si>
  <si>
    <t>487</t>
  </si>
  <si>
    <t>1052807</t>
  </si>
  <si>
    <t>Обеспечение деятельности аппарата управления молодежной политики и спорта</t>
  </si>
  <si>
    <t>488</t>
  </si>
  <si>
    <t>489</t>
  </si>
  <si>
    <t>490</t>
  </si>
  <si>
    <t>1200</t>
  </si>
  <si>
    <t>Средства массовой информации</t>
  </si>
  <si>
    <t>491</t>
  </si>
  <si>
    <t>1202</t>
  </si>
  <si>
    <t>Периодическая печать и издательства</t>
  </si>
  <si>
    <t>492</t>
  </si>
  <si>
    <t>493</t>
  </si>
  <si>
    <t>494</t>
  </si>
  <si>
    <t>0642106</t>
  </si>
  <si>
    <t>Обеспечение деятельности МБУ "Пресс-центр "Городской вестник"</t>
  </si>
  <si>
    <t>495</t>
  </si>
  <si>
    <t>496</t>
  </si>
  <si>
    <t>1300</t>
  </si>
  <si>
    <t>Обслуживание государственного и муниципального долга</t>
  </si>
  <si>
    <t>497</t>
  </si>
  <si>
    <t>1301</t>
  </si>
  <si>
    <t>Обслуживание государственного внутреннего и муниципального долга</t>
  </si>
  <si>
    <t>498</t>
  </si>
  <si>
    <t>499</t>
  </si>
  <si>
    <t>1120000</t>
  </si>
  <si>
    <t>Подпрограмма Управление муниципальным долгом</t>
  </si>
  <si>
    <t>500</t>
  </si>
  <si>
    <t>1122104</t>
  </si>
  <si>
    <t xml:space="preserve">Исполнение обязательств по обслуживанию муниципального долга городского округа Нижняя Салда в соответствии с программой муниципальных  заимствований городского округа Нижняя Салда и заключенными контрактами </t>
  </si>
  <si>
    <t>501</t>
  </si>
  <si>
    <t>730</t>
  </si>
  <si>
    <t>Обслуживание муниципального долга</t>
  </si>
  <si>
    <t>502</t>
  </si>
  <si>
    <t>ВСЕГО</t>
  </si>
  <si>
    <t xml:space="preserve">Информация об исполнении бюджета городского округа Нижняя Салда по доходам на 01.07.2015                    </t>
  </si>
  <si>
    <t xml:space="preserve">Информация об исполнении бюджета городского округа Нижняя Салда по расходам на 01.07.2015                    </t>
  </si>
  <si>
    <t>Номер строки</t>
  </si>
  <si>
    <t xml:space="preserve">Наименование источников внутреннего финансирования дефицита  бюджета </t>
  </si>
  <si>
    <t xml:space="preserve">Код источников внутреннего финансирования дефицита бюджета </t>
  </si>
  <si>
    <t>уточненные назначения</t>
  </si>
  <si>
    <t>исполнение</t>
  </si>
  <si>
    <t>Кредиты кредитных организаций в валюте Росийской Федерации</t>
  </si>
  <si>
    <t>919 01 02 00 00 00 0000 000</t>
  </si>
  <si>
    <t>Получение кредитов от  кредитных организаций бюджетами городских округов в валюте Российской Федерации</t>
  </si>
  <si>
    <t>919 01 02 00 00 04 0000 710</t>
  </si>
  <si>
    <t xml:space="preserve">Погашение бюджетами городских округов кредитов от  кредитных организаций в валюте Российской Федерации </t>
  </si>
  <si>
    <t>919 01 02 00 00 04 0000 810</t>
  </si>
  <si>
    <t xml:space="preserve">Бюджетные кредиты  от других бюджетов бюджетной системы Российской Федерации </t>
  </si>
  <si>
    <t>919 01 03 00 00 00 0000 000</t>
  </si>
  <si>
    <t>Получение  кредитов  от других бюджетов бюджетной системы Российской Федерации бюджетами городских округов в валюте  Российской Федерации</t>
  </si>
  <si>
    <t>919 01 03 01 00 04 0000 710</t>
  </si>
  <si>
    <t>Погашение бюджетами городских округов  кредитов  от других бюджетов бюджетной системы Российской Федерации в валюте Российской Федерации</t>
  </si>
  <si>
    <t>919 01 03 01 00 04 0000 810</t>
  </si>
  <si>
    <t>Изменение остатков средств на счетах по учету средств бюджетов</t>
  </si>
  <si>
    <t>919 01 05 00 00 00 0000 000</t>
  </si>
  <si>
    <t>Увеличение прочих остатков денежных средств бюджетов городских округов</t>
  </si>
  <si>
    <t>919 01 05 02 01 04 0000 510</t>
  </si>
  <si>
    <t>Уменьшение прочих остатков денежных средств бюджетов городских  округов</t>
  </si>
  <si>
    <t>919 01 05 02 01 04 0000 610</t>
  </si>
  <si>
    <t>Итого источники внутреннего финансирования дефицитов бюджетов</t>
  </si>
  <si>
    <t>Информация об исполнении бюджета городского округа Нижняя Салда по источникам внутреннего финансирования дефицита  бюджета                                                                                                                              на 01.07.2015</t>
  </si>
  <si>
    <t>в рублях</t>
  </si>
  <si>
    <t>номер строки</t>
  </si>
  <si>
    <t>Код классификации доходов бюджета</t>
  </si>
  <si>
    <t>Наименование доходов бюджета</t>
  </si>
  <si>
    <t xml:space="preserve">уточненные назначения </t>
  </si>
  <si>
    <t xml:space="preserve">исполнение </t>
  </si>
  <si>
    <t>% исполнения</t>
  </si>
  <si>
    <t>1</t>
  </si>
  <si>
    <t>000 1 00 00000 00 0000 000</t>
  </si>
  <si>
    <t>НАЛОГОВЫЕ И НЕНАЛОГОВЫЕ ДОХОДЫ</t>
  </si>
  <si>
    <t>2</t>
  </si>
  <si>
    <t>000 1 01 00000 00 0000 000</t>
  </si>
  <si>
    <t>НАЛОГИ НА ПРИБЫЛЬ, ДОХОДЫ</t>
  </si>
  <si>
    <t>3</t>
  </si>
  <si>
    <t>182 1 01 02000 01 0000 110</t>
  </si>
  <si>
    <t>Налог на доходы физических лиц</t>
  </si>
  <si>
    <t>4</t>
  </si>
  <si>
    <t xml:space="preserve">000 1 03 00000 00 0000 000   </t>
  </si>
  <si>
    <t>НАЛОГИ  НА  ТОВАРЫ   (РАБОТЫ,   УСЛУГИ), РЕАЛИЗУЕМЫЕ  НА  ТЕРРИТОРИИ   РОССИЙСКОЙ ФЕДЕРАЦИИ</t>
  </si>
  <si>
    <t>5</t>
  </si>
  <si>
    <t xml:space="preserve">000 1 05 00000 00 0000 000 </t>
  </si>
  <si>
    <t>НАЛОГИ НА СОВОКУПНЫЙ ДОХОД</t>
  </si>
  <si>
    <t>6</t>
  </si>
  <si>
    <t>182 1 05 02000 02 0000 110</t>
  </si>
  <si>
    <t xml:space="preserve">Единый налог на вмененный доход для отдельных видов деятельности </t>
  </si>
  <si>
    <t>7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</si>
  <si>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</si>
  <si>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</si>
  <si>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8</t>
  </si>
  <si>
    <t>000 1 06 00000 00 0000 000</t>
  </si>
  <si>
    <t>НАЛОГИ НА ИМУЩЕСТВО</t>
  </si>
  <si>
    <t>9</t>
  </si>
  <si>
    <t>182 1 06 01000 00 0000 110</t>
  </si>
  <si>
    <t>Налог на имущество физических лиц</t>
  </si>
  <si>
    <t>10</t>
  </si>
  <si>
    <t>182 1 06 01020 04 0000 110</t>
  </si>
  <si>
    <t>Налог на имущество физических лиц ,взимаемый по ставкам,  применяемым к объектам налогообложения в границах  городских округов</t>
  </si>
  <si>
    <t>11</t>
  </si>
  <si>
    <t>182 1 06 06000 00 0000 110</t>
  </si>
  <si>
    <t>Земельный налог</t>
  </si>
  <si>
    <t>12</t>
  </si>
  <si>
    <t>182 1 06 06042 04 0000 110</t>
  </si>
  <si>
    <t>13</t>
  </si>
  <si>
    <t>182 1 06 06032 04 0000 110</t>
  </si>
  <si>
    <t>14</t>
  </si>
  <si>
    <t>000 1 08 00000 00 0000 000</t>
  </si>
  <si>
    <t>ГОСУДАРСТВЕННАЯ ПОШЛИНА</t>
  </si>
  <si>
    <t>15</t>
  </si>
  <si>
    <t>182 1 08 03010 01 0000 110</t>
  </si>
  <si>
    <t>Государственная пошлина по делам,рассматриваемым в судах общей юрисдикции,мировыми судьями</t>
  </si>
  <si>
    <t>16</t>
  </si>
  <si>
    <t>901 1 08 07173 01 0000 110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</si>
  <si>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</t>
  </si>
  <si>
    <t>17</t>
  </si>
  <si>
    <t>901 1 08 07150 01 0000 110</t>
  </si>
  <si>
    <t xml:space="preserve">Государственная пошлина за выдачу разрешения на установку рекламной конструкции </t>
  </si>
  <si>
    <t>18</t>
  </si>
  <si>
    <t>000 1 09 00000 00 0000 000</t>
  </si>
  <si>
    <t>ЗАДОЛЖЕННОСТЬ И ПЕРЕРАСЧЕТЫ ПО ОТМЕНЕННЫМ НАЛОГАМ</t>
  </si>
  <si>
    <t>19</t>
  </si>
  <si>
    <t>182 1 09 04052 04 0000 110</t>
  </si>
  <si>
    <t>Земельный налог (по обязательствам возникшим до 1 января 2006года), мобилизуемый на территорияхгородских округов.</t>
  </si>
  <si>
    <t>20</t>
  </si>
  <si>
    <t>182 1 09 07032 04 0000 110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</si>
  <si>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</si>
  <si>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21</t>
  </si>
  <si>
    <t>000 1 11 00000 00 0000 000</t>
  </si>
  <si>
    <t>ДОХОДЫ ОТ ИСПОЛЬЗОВАНИЯ ИМУЩЕСТВА,НАХОДЯЩЕГОСЯ В ГОСУДАРСТВЕННОЙ И МУНИЦИПАЛЬНОЙ СОБСТВЕННОСТИ</t>
  </si>
  <si>
    <t>22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</si>
  <si>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</si>
  <si>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</si>
  <si>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23</t>
  </si>
  <si>
    <t>901 1 11 05010 00 0000 120</t>
  </si>
  <si>
    <t>Доходы ,получаемые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</si>
  <si>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24</t>
  </si>
  <si>
    <t>901 1 11 05020 00 0000 120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</si>
  <si>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</si>
  <si>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25</t>
  </si>
  <si>
    <t xml:space="preserve">906 1 11 05030 00 0000 120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</si>
  <si>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</si>
  <si>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26</t>
  </si>
  <si>
    <t xml:space="preserve">901 1 11 05070 00 0000 120  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</si>
  <si>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</si>
  <si>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27</t>
  </si>
  <si>
    <t>901 1 11 07014 04 0000 120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</si>
  <si>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</si>
  <si>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28</t>
  </si>
  <si>
    <t xml:space="preserve">000 1 12 00000 00 0000 000 </t>
  </si>
  <si>
    <t>ПЛАТЕЖИ ПРИ ПОЛЬЗОВАНИИ ПРИРОДНЫМИ РЕСУРСАМИ</t>
  </si>
  <si>
    <t>29</t>
  </si>
  <si>
    <t>048 1 12 01000 01 0000 120</t>
  </si>
  <si>
    <t>Плата за негативное воздействие на окружающую среду</t>
  </si>
  <si>
    <t>30</t>
  </si>
  <si>
    <t xml:space="preserve">000 1 13 00000 00 0000 000  </t>
  </si>
  <si>
    <t>ДОХОДЫ ОТ ОКАЗАНИЯ ПЛАТНЫХ УСЛУГ И КОМПЕНСАЦИИ ЗАТРАТ ГОСУДАРСТВА</t>
  </si>
  <si>
    <t>31</t>
  </si>
  <si>
    <t xml:space="preserve"> 000 1 13 01990 00 0000 130</t>
  </si>
  <si>
    <t>Прочие доходы от оказания платных услуг (работ)</t>
  </si>
  <si>
    <t>32</t>
  </si>
  <si>
    <t>906 1 13 01994 04 0001 130</t>
  </si>
  <si>
    <t>Прочие 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</t>
  </si>
  <si>
    <t>33</t>
  </si>
  <si>
    <t>906 1 13 01994 04 0004 130</t>
  </si>
  <si>
    <t xml:space="preserve">Прочие доходы от оказания платных услуг (работ) получателями средств бюджетов городских округов (прочие доходы от оказания платных услуг (работ) </t>
  </si>
  <si>
    <t>34</t>
  </si>
  <si>
    <t>000 1 13 02990 00 0000 130</t>
  </si>
  <si>
    <t>Прочие доходы от компенсации затрат государства</t>
  </si>
  <si>
    <t>35</t>
  </si>
  <si>
    <t>901 1 13 02994 04 0001 130</t>
  </si>
  <si>
    <t>Прочие доходы от компенсации затрат бюджетов городских округов (возврат дебиторской задолженности прошлых лет)</t>
  </si>
  <si>
    <t>36</t>
  </si>
  <si>
    <t>000 1 14 00000 00 0000 000</t>
  </si>
  <si>
    <t>ДОХОДЫ ОТ ПРОДАЖИ МАТЕРИАЛЬНЫХ И НЕМАТЕРИАЛЬНЫХ АКТИВОВ</t>
  </si>
  <si>
    <t>37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</si>
  <si>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</si>
  <si>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</si>
  <si>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38</t>
  </si>
  <si>
    <t>901 1 14 02043 04 0000 410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</si>
  <si>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</t>
  </si>
  <si>
    <t>39</t>
  </si>
  <si>
    <t>000 1 14 06000 00 0000 430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</si>
  <si>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автономных учреждений)</t>
  </si>
  <si>
    <t>40</t>
  </si>
  <si>
    <t>901 1 14 06010 00 0000 430</t>
  </si>
  <si>
    <t>Доходы от продажи земельных участков, государственная собственность на которые не разграничена</t>
  </si>
  <si>
    <t>41</t>
  </si>
  <si>
    <t>901 1 14 06020 00 0000 430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</si>
  <si>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</si>
  <si>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42</t>
  </si>
  <si>
    <t xml:space="preserve">000 1 16 00000 00 0000 000 </t>
  </si>
  <si>
    <t>ШТРАФЫ, САНКЦИИ, ВОЗМЕЩЕНИЕ УЩЕРБА</t>
  </si>
  <si>
    <t>43</t>
  </si>
  <si>
    <t>321 1 16 25060 01 0000 140</t>
  </si>
  <si>
    <t>Денежные взыскания (штрафы) за нарушение земельного законодательства</t>
  </si>
  <si>
    <t>44</t>
  </si>
  <si>
    <t xml:space="preserve">901 1 16 51020 02 0000 140   </t>
  </si>
  <si>
    <t>Денежные       взыскания       (штрафы), установленные     законами     субъектов  Российской  Федерации  за   несоблюдение   муниципальных      правовых       актов, зачисляемые в бюджеты городских округов</t>
  </si>
  <si>
    <t>45</t>
  </si>
  <si>
    <t>000 1 16 90040 04 0000 140</t>
  </si>
  <si>
    <t>Прочие поступления от денежных взысканий (штрафов) и иных сумм в возмещение ущерба,зачисляемые в бюджеты городских округов</t>
  </si>
  <si>
    <t>46</t>
  </si>
  <si>
    <t>037 1 16 90040 04 0000 140</t>
  </si>
  <si>
    <t>47</t>
  </si>
  <si>
    <t>901 1 16 90040 04 0000 140</t>
  </si>
  <si>
    <t>48</t>
  </si>
  <si>
    <t>192 1 16 90040 04 0000 140</t>
  </si>
  <si>
    <t>49</t>
  </si>
  <si>
    <t>188 1 16 90040 04 0000 140</t>
  </si>
  <si>
    <t>50</t>
  </si>
  <si>
    <t>000 1 17 00000 00 0000 000</t>
  </si>
  <si>
    <t>ПРОЧИЕ НЕНАЛОГОВЫЕ ДОХОДЫ</t>
  </si>
  <si>
    <t>51</t>
  </si>
  <si>
    <t>906 1 17 01040 04 0000 180</t>
  </si>
  <si>
    <t>Невыясненные поступления, зачисляемые в бюджеты городских округов</t>
  </si>
  <si>
    <t>52</t>
  </si>
  <si>
    <t>901 1 17 05040 04 0000 180</t>
  </si>
  <si>
    <t>Прочие неналоговые доходы бюджетов городских округов</t>
  </si>
  <si>
    <t>53</t>
  </si>
  <si>
    <t>908 1 17 05040 04 0000 180</t>
  </si>
  <si>
    <t>54</t>
  </si>
  <si>
    <t>000 2 00 00000 00 0000 000</t>
  </si>
  <si>
    <t>БЕЗВОЗМЕЗДНЫЕ ПОСТУПЛЕНИЯ</t>
  </si>
  <si>
    <t>55</t>
  </si>
  <si>
    <t>000 2 02 00000 00 0000 000</t>
  </si>
  <si>
    <t>Безвозмездные поступления от других бюджетов бюджетной системы Российской Федерации</t>
  </si>
  <si>
    <t>56</t>
  </si>
  <si>
    <t>000 2 02 01000 00 0000 151</t>
  </si>
  <si>
    <t>Дотации бюджетам субъектов РФ и муниципальных образований</t>
  </si>
  <si>
    <t>57</t>
  </si>
  <si>
    <t>919 2 02 01001 00 0000 151</t>
  </si>
  <si>
    <t>Дотации  бюджетам  на выравнивание бюджетной обеспеченности , в том числе:</t>
  </si>
  <si>
    <t>58</t>
  </si>
  <si>
    <t>Дотации из областного бюджета на выравнивание бюджетной обеспеченности поселений между поселениями, расположенными на территории Свердловской области</t>
  </si>
  <si>
    <t>59</t>
  </si>
  <si>
    <t>Дотации из областного бюджета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</si>
  <si>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60</t>
  </si>
  <si>
    <t>000  2 02 02000 00 0000 151</t>
  </si>
  <si>
    <t>Субсидии бюджетам бюджетной системы Российской Федерации (межбюджетные субсидии)</t>
  </si>
  <si>
    <t>61</t>
  </si>
  <si>
    <t>906 2 02 02077 04 0000 151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</si>
  <si>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</si>
  <si>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62</t>
  </si>
  <si>
    <t>000 2 02 02999 04 0000 151</t>
  </si>
  <si>
    <t>Прочие субсидии бюджетам городских округов, в том числе:</t>
  </si>
  <si>
    <t>63</t>
  </si>
  <si>
    <t>901 2 02 02999 04 0000 151</t>
  </si>
  <si>
    <t>субсидии на выравнивание обеспеченности муниципальных районов(городских округов) по реализации ими их отдельных расходных обязательств по вопросам местного значения</t>
  </si>
  <si>
    <t>64</t>
  </si>
  <si>
    <t>906 2 02 02999 04 0000 151</t>
  </si>
  <si>
    <t>субсидии на обеспечение питанием обучающихся в  муниципальных общеобразовательных организациях</t>
  </si>
  <si>
    <t>65</t>
  </si>
  <si>
    <t>субсидии на организацию отдыха детей в каникулярное время</t>
  </si>
  <si>
    <t>66</t>
  </si>
  <si>
    <t>субсидии на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</si>
  <si>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67</t>
  </si>
  <si>
    <t>субсидии на реализацию мероприятий по информатизации муниципальных образований в Свердловской области</t>
  </si>
  <si>
    <t>68</t>
  </si>
  <si>
    <t>000 2 02 03000 00 0000 151</t>
  </si>
  <si>
    <t>Субвенции  бюджетам субъектов РФ и муниципальных образований</t>
  </si>
  <si>
    <t>69</t>
  </si>
  <si>
    <t>901 2 02 03001 04 0000 151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</si>
  <si>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</si>
  <si>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70</t>
  </si>
  <si>
    <t>901 2 02 03015 04 0000 151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</si>
  <si>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</si>
  <si>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>71</t>
  </si>
  <si>
    <t>901 2 02 03022 04 0000 151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</si>
  <si>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</si>
  <si>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72</t>
  </si>
  <si>
    <t>000  2 02 03024 04 0000 151</t>
  </si>
  <si>
    <t>Субвенции бюджетам городских округов на выполнение передаваемых полномочий субъектов  Российской Федерации, в том числе:</t>
  </si>
  <si>
    <t>73</t>
  </si>
  <si>
    <t>901  2 02 03024 04 0000 151</t>
  </si>
  <si>
    <t>Субвенции на осуществление государственного полномочия Свердловской области по хранению, комплектованию.учету и использованию архивных документов, относящихся к государственной  собственности Свердловской области</t>
  </si>
  <si>
    <t>74</t>
  </si>
  <si>
    <t>75</t>
  </si>
  <si>
    <t>Субвенция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</si>
  <si>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76</t>
  </si>
  <si>
    <t>Субвенции на осуществление государственного полномочия по созданию административных комиссий</t>
  </si>
  <si>
    <t>77</t>
  </si>
  <si>
    <t>Субвенции на осуществление государственного полномочия Свердловской области по предоставлению  гражданам, проживающим на территории Свердловской области,меры социальной поддержки по частичному освобождению от платы за коммунальные услуги</t>
  </si>
  <si>
    <t>78</t>
  </si>
  <si>
    <t>000 2 02 03999  04 0000 151</t>
  </si>
  <si>
    <t>Прочие субвенции бюджетам городских округов, в том числе:</t>
  </si>
  <si>
    <t>79</t>
  </si>
  <si>
    <t>906 2 02 03999  04 0000 151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</si>
  <si>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</t>
  </si>
  <si>
    <t>80</t>
  </si>
  <si>
    <t xml:space="preserve">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</si>
  <si>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81</t>
  </si>
  <si>
    <t>000 2 02 04000 00 0000 151</t>
  </si>
  <si>
    <t>Иные межбюджетные трансферты</t>
  </si>
  <si>
    <t>82</t>
  </si>
  <si>
    <t>000 2 02 04999 04 0000 151</t>
  </si>
  <si>
    <t>Прочие межбюджетные трансферты, передаваемые бюджетам городских округов, в том числе:</t>
  </si>
  <si>
    <t>83</t>
  </si>
  <si>
    <t>906 2 02 04999 04 0000 151</t>
  </si>
  <si>
    <t xml:space="preserve"> на обеспечение меры социальной поддержки по бесплатному получению художественного образования  в муниципальных организациях (учреждениях) дополнительного образования, в том числе в домах детского творчества, школах искусств, детям-сиротам, детям, оставши</t>
  </si>
  <si>
    <t>84</t>
  </si>
  <si>
    <t>000 2 07 00000 00 0000 000</t>
  </si>
  <si>
    <t>Прочие безвозмездные поступления</t>
  </si>
  <si>
    <t>85</t>
  </si>
  <si>
    <t>901 2 07 04050 04 0000 180</t>
  </si>
  <si>
    <t>Прочие безвозмездные поступления в бюджеты городских округов</t>
  </si>
  <si>
    <t>86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</si>
  <si>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</si>
  <si>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</si>
  <si>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87</t>
  </si>
  <si>
    <t>908 2 18 04010 04 0000 180</t>
  </si>
  <si>
    <t>Доходы бюджетов городских округов от возврата бюджетными учреждениями остатков субсидий прошлых лет</t>
  </si>
  <si>
    <t>88</t>
  </si>
  <si>
    <t>915 2 18 04010 04 0000 180</t>
  </si>
  <si>
    <t>89</t>
  </si>
  <si>
    <t>000 2 19 00000 00 0000 000</t>
  </si>
  <si>
    <t>Возврат остатков субсидий,субвенций и иных межбюджетных трансфертов, имеющих целевое назначение, прошлых лет</t>
  </si>
  <si>
    <t>90</t>
  </si>
  <si>
    <t>901 2 19 04000 04 0000 151</t>
  </si>
  <si>
    <t>Возврат остатков субсидий, субвенций и иных межбюджетных трансфертов, имеющих целевое назначение, прошлых лет, из бюджетов городских округов.</t>
  </si>
  <si>
    <t>91</t>
  </si>
  <si>
    <t>906 2 19 04000 04 0000 151</t>
  </si>
  <si>
    <t>92</t>
  </si>
  <si>
    <t>ИТОГО ДОХОДОВ</t>
  </si>
  <si>
    <r>
      <t xml:space="preserve">Земельный налог </t>
    </r>
    <r>
      <rPr>
        <b/>
        <sz val="10"/>
        <rFont val="Times New Roman"/>
        <family val="1"/>
      </rPr>
      <t xml:space="preserve">с физических лиц, </t>
    </r>
    <r>
      <rPr>
        <sz val="10"/>
        <rFont val="Times New Roman"/>
        <family val="1"/>
      </rPr>
      <t>обладающих земельным участком, расположенным в границах городских округов</t>
    </r>
  </si>
  <si>
    <r>
      <t xml:space="preserve">Земельный </t>
    </r>
    <r>
      <rPr>
        <b/>
        <sz val="10"/>
        <rFont val="Times New Roman"/>
        <family val="1"/>
      </rPr>
      <t>налог с организаций</t>
    </r>
    <r>
      <rPr>
        <sz val="10"/>
        <rFont val="Times New Roman"/>
        <family val="1"/>
      </rPr>
      <t>, обладающих земельным участком, расположенным в границах городских округов</t>
    </r>
  </si>
  <si>
    <r>
      <t xml:space="preserve">Субвенции на осуществление государственного полномочия </t>
    </r>
    <r>
      <rPr>
        <b/>
        <sz val="10"/>
        <rFont val="Times New Roman"/>
        <family val="1"/>
      </rPr>
      <t>Свердловской области</t>
    </r>
    <r>
      <rPr>
        <sz val="10"/>
        <rFont val="Times New Roman"/>
        <family val="1"/>
      </rPr>
      <t xml:space="preserve"> по предоставлению отдельным категориям граждан компенсации расходов на оплату жилого помещения и коммунальных услуг</t>
    </r>
  </si>
  <si>
    <t>Формула для нумерации колонок</t>
  </si>
  <si>
    <t xml:space="preserve">Формула
</t>
  </si>
  <si>
    <t>Вариант=Кл_новый БК - Б2008 - на 1чтение;
Табл=Расх Расп;
ЭКР=000;
Сотр=00000;
Расп=000000;
Доп=00000;</t>
  </si>
  <si>
    <t>Строка формата</t>
  </si>
  <si>
    <t>Но-
мер стро-
ки</t>
  </si>
  <si>
    <t>Код
раз-
дела,
под-
раз-
дела</t>
  </si>
  <si>
    <t>Код
целе-
вой
статьи</t>
  </si>
  <si>
    <t>Код
ви-
да
рас-
хо-
дов</t>
  </si>
  <si>
    <t>Наименование раздела, подраздела, целевой статьи или вида расходов</t>
  </si>
  <si>
    <t>Бюджет городского округа, сумма в рублях</t>
  </si>
  <si>
    <t>Исполнено, сумма в рублях</t>
  </si>
  <si>
    <t>Процент исполнения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</si>
  <si>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</si>
  <si>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</si>
  <si>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</si>
  <si>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</si>
  <si>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8000000</t>
  </si>
  <si>
    <t>Непрограммные направления деятельности</t>
  </si>
  <si>
    <t>8001101</t>
  </si>
  <si>
    <t>Глава муниципального образования</t>
  </si>
  <si>
    <t>120</t>
  </si>
  <si>
    <t xml:space="preserve">Расходы на выплаты персоналу государственных (муниципальных) органов
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</si>
  <si>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</si>
  <si>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</si>
  <si>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8001001</t>
  </si>
  <si>
    <t>Обеспечение деятельности органов местного самоуправления (центральный аппарат)</t>
  </si>
  <si>
    <t>240</t>
  </si>
  <si>
    <t xml:space="preserve">Иные закупки товаров, работ и услуг для обеспечения
государственных (муниципальных) нужд
</t>
  </si>
  <si>
    <t>8001002</t>
  </si>
  <si>
    <t>Погашение кредиторской задолженности прошлых лет</t>
  </si>
  <si>
    <t>8001201</t>
  </si>
  <si>
    <t>Возмещение  расходов депутатам Думы городского округа Нижняя Салда, осуществляющим свои полномочия  на непостоянной основе</t>
  </si>
  <si>
    <t>320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</si>
</sst>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0.E+00"/>
    <numFmt numFmtId="182" formatCode="0.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(* #,##0_);_(* \(#,##0\);_(* \-??_);_(@_)"/>
    <numFmt numFmtId="189" formatCode="_-* #,##0.0_р_._-;\-* #,##0.0_р_._-;_-* &quot;-&quot;?_р_._-;_-@_-"/>
    <numFmt numFmtId="190" formatCode="0.000000"/>
    <numFmt numFmtId="191" formatCode="0.0000"/>
    <numFmt numFmtId="192" formatCode="#,##0.00_р_."/>
    <numFmt numFmtId="193" formatCode="_(* #,##0.00_);_(* \(#,##0.00\);_(* \-??_);_(@_)"/>
    <numFmt numFmtId="194" formatCode="_-* #,##0.00_р_._-;\-* #,##0.00_р_._-;_-* \-??_р_._-;_-@_-"/>
    <numFmt numFmtId="195" formatCode="000000"/>
    <numFmt numFmtId="196" formatCode="_-* #,##0.000_р_._-;\-* #,##0.000_р_._-;_-* \-??_р_._-;_-@_-"/>
    <numFmt numFmtId="197" formatCode="#,##0.00&quot;р.&quot;"/>
  </numFmts>
  <fonts count="37">
    <font>
      <sz val="10"/>
      <name val="Arial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u val="single"/>
      <sz val="10"/>
      <color indexed="36"/>
      <name val="Arial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Alignment="1">
      <alignment wrapText="1"/>
    </xf>
    <xf numFmtId="49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wrapText="1"/>
    </xf>
    <xf numFmtId="4" fontId="27" fillId="0" borderId="12" xfId="0" applyNumberFormat="1" applyFont="1" applyFill="1" applyBorder="1" applyAlignment="1">
      <alignment/>
    </xf>
    <xf numFmtId="192" fontId="27" fillId="0" borderId="12" xfId="0" applyNumberFormat="1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6" fillId="0" borderId="11" xfId="0" applyFont="1" applyFill="1" applyBorder="1" applyAlignment="1">
      <alignment wrapText="1"/>
    </xf>
    <xf numFmtId="4" fontId="26" fillId="0" borderId="10" xfId="0" applyNumberFormat="1" applyFont="1" applyFill="1" applyBorder="1" applyAlignment="1">
      <alignment/>
    </xf>
    <xf numFmtId="192" fontId="26" fillId="0" borderId="12" xfId="0" applyNumberFormat="1" applyFont="1" applyFill="1" applyBorder="1" applyAlignment="1">
      <alignment/>
    </xf>
    <xf numFmtId="0" fontId="26" fillId="0" borderId="13" xfId="0" applyFont="1" applyFill="1" applyBorder="1" applyAlignment="1">
      <alignment horizontal="left" wrapText="1"/>
    </xf>
    <xf numFmtId="4" fontId="26" fillId="0" borderId="12" xfId="0" applyNumberFormat="1" applyFont="1" applyFill="1" applyBorder="1" applyAlignment="1">
      <alignment/>
    </xf>
    <xf numFmtId="0" fontId="27" fillId="0" borderId="14" xfId="0" applyFont="1" applyFill="1" applyBorder="1" applyAlignment="1">
      <alignment/>
    </xf>
    <xf numFmtId="4" fontId="27" fillId="0" borderId="10" xfId="0" applyNumberFormat="1" applyFont="1" applyFill="1" applyBorder="1" applyAlignment="1">
      <alignment/>
    </xf>
    <xf numFmtId="0" fontId="26" fillId="0" borderId="12" xfId="0" applyFont="1" applyFill="1" applyBorder="1" applyAlignment="1">
      <alignment/>
    </xf>
    <xf numFmtId="4" fontId="27" fillId="0" borderId="15" xfId="0" applyNumberFormat="1" applyFont="1" applyFill="1" applyBorder="1" applyAlignment="1">
      <alignment/>
    </xf>
    <xf numFmtId="0" fontId="30" fillId="0" borderId="11" xfId="0" applyFont="1" applyFill="1" applyBorder="1" applyAlignment="1">
      <alignment wrapText="1"/>
    </xf>
    <xf numFmtId="192" fontId="26" fillId="0" borderId="12" xfId="0" applyNumberFormat="1" applyFont="1" applyFill="1" applyBorder="1" applyAlignment="1">
      <alignment wrapText="1"/>
    </xf>
    <xf numFmtId="0" fontId="30" fillId="0" borderId="11" xfId="0" applyFont="1" applyFill="1" applyBorder="1" applyAlignment="1">
      <alignment horizontal="left" wrapText="1"/>
    </xf>
    <xf numFmtId="192" fontId="26" fillId="0" borderId="12" xfId="0" applyNumberFormat="1" applyFont="1" applyFill="1" applyBorder="1" applyAlignment="1">
      <alignment horizontal="right"/>
    </xf>
    <xf numFmtId="4" fontId="26" fillId="0" borderId="12" xfId="0" applyNumberFormat="1" applyFont="1" applyFill="1" applyBorder="1" applyAlignment="1">
      <alignment horizontal="right"/>
    </xf>
    <xf numFmtId="4" fontId="26" fillId="0" borderId="12" xfId="0" applyNumberFormat="1" applyFont="1" applyFill="1" applyBorder="1" applyAlignment="1">
      <alignment wrapText="1"/>
    </xf>
    <xf numFmtId="192" fontId="26" fillId="0" borderId="13" xfId="0" applyNumberFormat="1" applyFont="1" applyFill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30" fillId="0" borderId="11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center" wrapText="1"/>
    </xf>
    <xf numFmtId="0" fontId="26" fillId="0" borderId="15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wrapText="1"/>
    </xf>
    <xf numFmtId="0" fontId="27" fillId="0" borderId="14" xfId="0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192" fontId="26" fillId="0" borderId="15" xfId="0" applyNumberFormat="1" applyFont="1" applyFill="1" applyBorder="1" applyAlignment="1">
      <alignment/>
    </xf>
    <xf numFmtId="4" fontId="27" fillId="0" borderId="12" xfId="59" applyNumberFormat="1" applyFont="1" applyFill="1" applyBorder="1" applyAlignment="1">
      <alignment/>
    </xf>
    <xf numFmtId="0" fontId="26" fillId="0" borderId="17" xfId="0" applyFont="1" applyFill="1" applyBorder="1" applyAlignment="1">
      <alignment horizontal="left" wrapText="1"/>
    </xf>
    <xf numFmtId="4" fontId="26" fillId="0" borderId="15" xfId="0" applyNumberFormat="1" applyFont="1" applyFill="1" applyBorder="1" applyAlignment="1">
      <alignment/>
    </xf>
    <xf numFmtId="0" fontId="27" fillId="0" borderId="13" xfId="0" applyFont="1" applyFill="1" applyBorder="1" applyAlignment="1">
      <alignment horizontal="left" wrapText="1"/>
    </xf>
    <xf numFmtId="192" fontId="27" fillId="0" borderId="15" xfId="0" applyNumberFormat="1" applyFont="1" applyFill="1" applyBorder="1" applyAlignment="1">
      <alignment/>
    </xf>
    <xf numFmtId="0" fontId="31" fillId="0" borderId="0" xfId="0" applyFont="1" applyAlignment="1">
      <alignment/>
    </xf>
    <xf numFmtId="192" fontId="26" fillId="0" borderId="17" xfId="0" applyNumberFormat="1" applyFont="1" applyFill="1" applyBorder="1" applyAlignment="1">
      <alignment/>
    </xf>
    <xf numFmtId="0" fontId="27" fillId="0" borderId="17" xfId="0" applyFont="1" applyFill="1" applyBorder="1" applyAlignment="1">
      <alignment wrapText="1"/>
    </xf>
    <xf numFmtId="192" fontId="27" fillId="0" borderId="17" xfId="0" applyNumberFormat="1" applyFont="1" applyFill="1" applyBorder="1" applyAlignment="1">
      <alignment/>
    </xf>
    <xf numFmtId="0" fontId="26" fillId="0" borderId="11" xfId="0" applyFont="1" applyFill="1" applyBorder="1" applyAlignment="1">
      <alignment wrapText="1"/>
    </xf>
    <xf numFmtId="0" fontId="30" fillId="0" borderId="14" xfId="0" applyFont="1" applyFill="1" applyBorder="1" applyAlignment="1">
      <alignment horizontal="left"/>
    </xf>
    <xf numFmtId="0" fontId="30" fillId="0" borderId="11" xfId="0" applyFont="1" applyFill="1" applyBorder="1" applyAlignment="1">
      <alignment horizontal="left"/>
    </xf>
    <xf numFmtId="0" fontId="30" fillId="0" borderId="13" xfId="0" applyFont="1" applyFill="1" applyBorder="1" applyAlignment="1">
      <alignment horizontal="left"/>
    </xf>
    <xf numFmtId="0" fontId="30" fillId="0" borderId="14" xfId="0" applyFont="1" applyFill="1" applyBorder="1" applyAlignment="1">
      <alignment horizontal="left" wrapText="1"/>
    </xf>
    <xf numFmtId="4" fontId="27" fillId="0" borderId="18" xfId="0" applyNumberFormat="1" applyFont="1" applyFill="1" applyBorder="1" applyAlignment="1">
      <alignment/>
    </xf>
    <xf numFmtId="192" fontId="27" fillId="0" borderId="18" xfId="0" applyNumberFormat="1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192" fontId="27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92" fontId="26" fillId="0" borderId="0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49" fontId="26" fillId="0" borderId="0" xfId="54" applyNumberFormat="1" applyFont="1" applyFill="1" applyAlignment="1">
      <alignment horizontal="center" vertical="top"/>
      <protection/>
    </xf>
    <xf numFmtId="49" fontId="26" fillId="0" borderId="0" xfId="54" applyNumberFormat="1" applyFont="1" applyFill="1" applyAlignment="1">
      <alignment horizontal="center" vertical="top" wrapText="1"/>
      <protection/>
    </xf>
    <xf numFmtId="0" fontId="26" fillId="0" borderId="0" xfId="54" applyNumberFormat="1" applyFont="1" applyFill="1" applyAlignment="1">
      <alignment horizontal="left" vertical="top" wrapText="1"/>
      <protection/>
    </xf>
    <xf numFmtId="194" fontId="26" fillId="0" borderId="0" xfId="64" applyNumberFormat="1" applyFont="1" applyFill="1" applyBorder="1" applyAlignment="1" applyProtection="1">
      <alignment wrapText="1"/>
      <protection/>
    </xf>
    <xf numFmtId="0" fontId="26" fillId="0" borderId="0" xfId="54" applyFont="1" applyFill="1" applyBorder="1">
      <alignment/>
      <protection/>
    </xf>
    <xf numFmtId="0" fontId="26" fillId="0" borderId="0" xfId="54" applyFont="1" applyFill="1">
      <alignment/>
      <protection/>
    </xf>
    <xf numFmtId="49" fontId="33" fillId="0" borderId="19" xfId="53" applyNumberFormat="1" applyFont="1" applyFill="1" applyBorder="1" applyAlignment="1">
      <alignment horizontal="center" vertical="top"/>
      <protection/>
    </xf>
    <xf numFmtId="0" fontId="33" fillId="0" borderId="19" xfId="53" applyNumberFormat="1" applyFont="1" applyFill="1" applyBorder="1" applyAlignment="1">
      <alignment horizontal="left" vertical="top" wrapText="1"/>
      <protection/>
    </xf>
    <xf numFmtId="194" fontId="33" fillId="0" borderId="20" xfId="64" applyNumberFormat="1" applyFont="1" applyFill="1" applyBorder="1" applyAlignment="1" applyProtection="1">
      <alignment horizontal="right"/>
      <protection/>
    </xf>
    <xf numFmtId="0" fontId="26" fillId="0" borderId="0" xfId="54" applyFont="1" applyFill="1" applyBorder="1" applyAlignment="1">
      <alignment/>
      <protection/>
    </xf>
    <xf numFmtId="0" fontId="26" fillId="0" borderId="0" xfId="54" applyFont="1" applyFill="1" applyAlignment="1">
      <alignment/>
      <protection/>
    </xf>
    <xf numFmtId="49" fontId="24" fillId="0" borderId="0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Fill="1" applyAlignment="1">
      <alignment horizontal="right"/>
      <protection/>
    </xf>
    <xf numFmtId="0" fontId="22" fillId="0" borderId="19" xfId="53" applyFont="1" applyFill="1" applyBorder="1" applyAlignment="1">
      <alignment horizontal="center" vertical="top" wrapText="1"/>
      <protection/>
    </xf>
    <xf numFmtId="49" fontId="21" fillId="0" borderId="19" xfId="53" applyNumberFormat="1" applyFont="1" applyFill="1" applyBorder="1" applyAlignment="1" applyProtection="1">
      <alignment horizontal="center" vertical="top" wrapText="1"/>
      <protection locked="0"/>
    </xf>
    <xf numFmtId="49" fontId="22" fillId="0" borderId="19" xfId="53" applyNumberFormat="1" applyFont="1" applyFill="1" applyBorder="1" applyAlignment="1" applyProtection="1">
      <alignment horizontal="center" vertical="top" wrapText="1"/>
      <protection locked="0"/>
    </xf>
    <xf numFmtId="0" fontId="22" fillId="0" borderId="19" xfId="53" applyFont="1" applyFill="1" applyBorder="1" applyAlignment="1" applyProtection="1">
      <alignment horizontal="center" vertical="top" wrapText="1"/>
      <protection locked="0"/>
    </xf>
    <xf numFmtId="194" fontId="22" fillId="0" borderId="19" xfId="64" applyNumberFormat="1" applyFont="1" applyFill="1" applyBorder="1" applyAlignment="1" applyProtection="1">
      <alignment horizontal="center" vertical="top" wrapText="1"/>
      <protection/>
    </xf>
    <xf numFmtId="194" fontId="22" fillId="0" borderId="21" xfId="64" applyNumberFormat="1" applyFont="1" applyFill="1" applyBorder="1" applyAlignment="1" applyProtection="1">
      <alignment horizontal="center" vertical="top" wrapText="1"/>
      <protection/>
    </xf>
    <xf numFmtId="0" fontId="27" fillId="0" borderId="0" xfId="54" applyFont="1" applyFill="1" applyAlignment="1">
      <alignment wrapText="1"/>
      <protection/>
    </xf>
    <xf numFmtId="49" fontId="27" fillId="0" borderId="19" xfId="53" applyNumberFormat="1" applyFont="1" applyFill="1" applyBorder="1" applyAlignment="1">
      <alignment horizontal="center"/>
      <protection/>
    </xf>
    <xf numFmtId="0" fontId="27" fillId="0" borderId="20" xfId="54" applyNumberFormat="1" applyFont="1" applyFill="1" applyBorder="1" applyAlignment="1">
      <alignment horizontal="center" wrapText="1"/>
      <protection/>
    </xf>
    <xf numFmtId="0" fontId="27" fillId="0" borderId="12" xfId="54" applyNumberFormat="1" applyFont="1" applyFill="1" applyBorder="1" applyAlignment="1">
      <alignment horizontal="center" wrapText="1"/>
      <protection/>
    </xf>
    <xf numFmtId="49" fontId="33" fillId="0" borderId="19" xfId="53" applyNumberFormat="1" applyFont="1" applyFill="1" applyBorder="1" applyAlignment="1">
      <alignment horizontal="center" vertical="center"/>
      <protection/>
    </xf>
    <xf numFmtId="49" fontId="22" fillId="0" borderId="19" xfId="53" applyNumberFormat="1" applyFont="1" applyFill="1" applyBorder="1" applyAlignment="1">
      <alignment horizontal="center" vertical="center"/>
      <protection/>
    </xf>
    <xf numFmtId="49" fontId="22" fillId="0" borderId="20" xfId="53" applyNumberFormat="1" applyFont="1" applyFill="1" applyBorder="1" applyAlignment="1">
      <alignment horizontal="center" vertical="center"/>
      <protection/>
    </xf>
    <xf numFmtId="0" fontId="22" fillId="0" borderId="20" xfId="53" applyNumberFormat="1" applyFont="1" applyFill="1" applyBorder="1" applyAlignment="1">
      <alignment horizontal="left" vertical="top" wrapText="1"/>
      <protection/>
    </xf>
    <xf numFmtId="4" fontId="22" fillId="0" borderId="19" xfId="64" applyNumberFormat="1" applyFont="1" applyFill="1" applyBorder="1" applyAlignment="1" applyProtection="1">
      <alignment horizontal="center" vertical="center"/>
      <protection/>
    </xf>
    <xf numFmtId="2" fontId="22" fillId="0" borderId="12" xfId="54" applyNumberFormat="1" applyFont="1" applyFill="1" applyBorder="1" applyAlignment="1">
      <alignment horizontal="center" vertical="center"/>
      <protection/>
    </xf>
    <xf numFmtId="0" fontId="22" fillId="0" borderId="19" xfId="53" applyNumberFormat="1" applyFont="1" applyFill="1" applyBorder="1" applyAlignment="1">
      <alignment horizontal="left" vertical="top" wrapText="1"/>
      <protection/>
    </xf>
    <xf numFmtId="0" fontId="27" fillId="0" borderId="0" xfId="54" applyFont="1" applyFill="1">
      <alignment/>
      <protection/>
    </xf>
    <xf numFmtId="4" fontId="33" fillId="0" borderId="19" xfId="64" applyNumberFormat="1" applyFont="1" applyFill="1" applyBorder="1" applyAlignment="1" applyProtection="1">
      <alignment horizontal="center" vertical="center"/>
      <protection/>
    </xf>
    <xf numFmtId="4" fontId="33" fillId="0" borderId="20" xfId="64" applyNumberFormat="1" applyFont="1" applyFill="1" applyBorder="1" applyAlignment="1" applyProtection="1">
      <alignment horizontal="center" vertical="center"/>
      <protection/>
    </xf>
    <xf numFmtId="2" fontId="33" fillId="0" borderId="12" xfId="54" applyNumberFormat="1" applyFont="1" applyFill="1" applyBorder="1" applyAlignment="1">
      <alignment horizontal="center" vertical="center"/>
      <protection/>
    </xf>
    <xf numFmtId="0" fontId="34" fillId="0" borderId="0" xfId="54" applyFont="1" applyFill="1">
      <alignment/>
      <protection/>
    </xf>
    <xf numFmtId="49" fontId="33" fillId="0" borderId="20" xfId="53" applyNumberFormat="1" applyFont="1" applyFill="1" applyBorder="1" applyAlignment="1">
      <alignment horizontal="center" vertical="center"/>
      <protection/>
    </xf>
    <xf numFmtId="4" fontId="33" fillId="0" borderId="19" xfId="54" applyNumberFormat="1" applyFont="1" applyFill="1" applyBorder="1" applyAlignment="1">
      <alignment horizontal="center" vertical="center" wrapText="1"/>
      <protection/>
    </xf>
    <xf numFmtId="49" fontId="33" fillId="0" borderId="20" xfId="54" applyNumberFormat="1" applyFont="1" applyFill="1" applyBorder="1" applyAlignment="1">
      <alignment horizontal="center" vertical="center"/>
      <protection/>
    </xf>
    <xf numFmtId="4" fontId="33" fillId="0" borderId="20" xfId="54" applyNumberFormat="1" applyFont="1" applyFill="1" applyBorder="1" applyAlignment="1">
      <alignment horizontal="center" vertical="center" wrapText="1"/>
      <protection/>
    </xf>
    <xf numFmtId="0" fontId="33" fillId="0" borderId="19" xfId="54" applyFont="1" applyFill="1" applyBorder="1" applyAlignment="1">
      <alignment horizontal="left" vertical="top" wrapText="1"/>
      <protection/>
    </xf>
    <xf numFmtId="0" fontId="33" fillId="0" borderId="20" xfId="53" applyNumberFormat="1" applyFont="1" applyFill="1" applyBorder="1" applyAlignment="1">
      <alignment horizontal="left" vertical="top" wrapText="1"/>
      <protection/>
    </xf>
    <xf numFmtId="4" fontId="22" fillId="0" borderId="20" xfId="64" applyNumberFormat="1" applyFont="1" applyFill="1" applyBorder="1" applyAlignment="1" applyProtection="1">
      <alignment horizontal="center" vertical="center"/>
      <protection/>
    </xf>
    <xf numFmtId="0" fontId="33" fillId="0" borderId="19" xfId="54" applyNumberFormat="1" applyFont="1" applyFill="1" applyBorder="1" applyAlignment="1">
      <alignment horizontal="left" vertical="top" wrapText="1"/>
      <protection/>
    </xf>
    <xf numFmtId="49" fontId="33" fillId="0" borderId="20" xfId="53" applyNumberFormat="1" applyFont="1" applyFill="1" applyBorder="1" applyAlignment="1">
      <alignment horizontal="center" vertical="top"/>
      <protection/>
    </xf>
    <xf numFmtId="0" fontId="33" fillId="0" borderId="19" xfId="54" applyFont="1" applyFill="1" applyBorder="1" applyAlignment="1">
      <alignment wrapText="1"/>
      <protection/>
    </xf>
    <xf numFmtId="4" fontId="22" fillId="0" borderId="20" xfId="64" applyNumberFormat="1" applyFont="1" applyFill="1" applyBorder="1" applyAlignment="1" applyProtection="1">
      <alignment horizontal="center" vertical="center"/>
      <protection/>
    </xf>
    <xf numFmtId="4" fontId="22" fillId="0" borderId="19" xfId="64" applyNumberFormat="1" applyFont="1" applyFill="1" applyBorder="1" applyAlignment="1" applyProtection="1">
      <alignment horizontal="center" vertical="center"/>
      <protection/>
    </xf>
    <xf numFmtId="4" fontId="33" fillId="0" borderId="19" xfId="64" applyNumberFormat="1" applyFont="1" applyFill="1" applyBorder="1" applyAlignment="1" applyProtection="1">
      <alignment horizontal="center" vertical="center"/>
      <protection/>
    </xf>
    <xf numFmtId="4" fontId="33" fillId="0" borderId="20" xfId="64" applyNumberFormat="1" applyFont="1" applyFill="1" applyBorder="1" applyAlignment="1" applyProtection="1">
      <alignment horizontal="center" vertical="center"/>
      <protection/>
    </xf>
    <xf numFmtId="4" fontId="33" fillId="0" borderId="19" xfId="54" applyNumberFormat="1" applyFont="1" applyFill="1" applyBorder="1" applyAlignment="1">
      <alignment horizontal="center" vertical="center" wrapText="1"/>
      <protection/>
    </xf>
    <xf numFmtId="4" fontId="33" fillId="0" borderId="20" xfId="54" applyNumberFormat="1" applyFont="1" applyFill="1" applyBorder="1" applyAlignment="1">
      <alignment horizontal="center" vertical="center" wrapText="1"/>
      <protection/>
    </xf>
    <xf numFmtId="0" fontId="22" fillId="0" borderId="19" xfId="54" applyFont="1" applyFill="1" applyBorder="1" applyAlignment="1">
      <alignment vertical="center" wrapText="1"/>
      <protection/>
    </xf>
    <xf numFmtId="0" fontId="26" fillId="0" borderId="0" xfId="54" applyFont="1" applyFill="1" applyAlignment="1">
      <alignment wrapText="1"/>
      <protection/>
    </xf>
    <xf numFmtId="0" fontId="33" fillId="0" borderId="19" xfId="53" applyNumberFormat="1" applyFont="1" applyFill="1" applyBorder="1" applyAlignment="1">
      <alignment horizontal="left" vertical="center" wrapText="1"/>
      <protection/>
    </xf>
    <xf numFmtId="0" fontId="22" fillId="0" borderId="19" xfId="54" applyFont="1" applyFill="1" applyBorder="1">
      <alignment/>
      <protection/>
    </xf>
    <xf numFmtId="4" fontId="33" fillId="0" borderId="19" xfId="64" applyNumberFormat="1" applyFont="1" applyFill="1" applyBorder="1" applyAlignment="1" applyProtection="1">
      <alignment horizontal="center" vertical="center" wrapText="1"/>
      <protection/>
    </xf>
    <xf numFmtId="4" fontId="33" fillId="0" borderId="20" xfId="64" applyNumberFormat="1" applyFont="1" applyFill="1" applyBorder="1" applyAlignment="1" applyProtection="1">
      <alignment horizontal="center" vertical="center" wrapText="1"/>
      <protection/>
    </xf>
    <xf numFmtId="49" fontId="22" fillId="0" borderId="19" xfId="53" applyNumberFormat="1" applyFont="1" applyFill="1" applyBorder="1" applyAlignment="1">
      <alignment horizontal="center" vertical="top"/>
      <protection/>
    </xf>
    <xf numFmtId="49" fontId="22" fillId="0" borderId="20" xfId="53" applyNumberFormat="1" applyFont="1" applyFill="1" applyBorder="1" applyAlignment="1">
      <alignment horizontal="center" vertical="top"/>
      <protection/>
    </xf>
    <xf numFmtId="0" fontId="33" fillId="0" borderId="19" xfId="54" applyFont="1" applyFill="1" applyBorder="1" applyAlignment="1">
      <alignment vertical="center" wrapText="1"/>
      <protection/>
    </xf>
    <xf numFmtId="49" fontId="33" fillId="0" borderId="19" xfId="53" applyNumberFormat="1" applyFont="1" applyFill="1" applyBorder="1" applyAlignment="1">
      <alignment horizontal="center" vertical="center"/>
      <protection/>
    </xf>
    <xf numFmtId="49" fontId="33" fillId="0" borderId="20" xfId="53" applyNumberFormat="1" applyFont="1" applyFill="1" applyBorder="1" applyAlignment="1">
      <alignment horizontal="center" vertical="center"/>
      <protection/>
    </xf>
    <xf numFmtId="0" fontId="22" fillId="0" borderId="19" xfId="54" applyFont="1" applyFill="1" applyBorder="1" applyAlignment="1">
      <alignment horizontal="left" vertical="center" wrapText="1"/>
      <protection/>
    </xf>
    <xf numFmtId="4" fontId="33" fillId="0" borderId="19" xfId="64" applyNumberFormat="1" applyFont="1" applyFill="1" applyBorder="1" applyAlignment="1" applyProtection="1">
      <alignment horizontal="center" vertical="center" shrinkToFit="1"/>
      <protection/>
    </xf>
    <xf numFmtId="4" fontId="33" fillId="0" borderId="20" xfId="64" applyNumberFormat="1" applyFont="1" applyFill="1" applyBorder="1" applyAlignment="1" applyProtection="1">
      <alignment horizontal="center" vertical="center" shrinkToFit="1"/>
      <protection/>
    </xf>
    <xf numFmtId="4" fontId="33" fillId="0" borderId="21" xfId="64" applyNumberFormat="1" applyFont="1" applyFill="1" applyBorder="1" applyAlignment="1" applyProtection="1">
      <alignment horizontal="center" vertical="center"/>
      <protection/>
    </xf>
    <xf numFmtId="4" fontId="33" fillId="0" borderId="22" xfId="64" applyNumberFormat="1" applyFont="1" applyFill="1" applyBorder="1" applyAlignment="1" applyProtection="1">
      <alignment horizontal="center" vertical="center"/>
      <protection/>
    </xf>
    <xf numFmtId="0" fontId="33" fillId="0" borderId="19" xfId="54" applyFont="1" applyFill="1" applyBorder="1" applyAlignment="1">
      <alignment horizontal="left" vertical="center" wrapText="1"/>
      <protection/>
    </xf>
    <xf numFmtId="4" fontId="26" fillId="0" borderId="0" xfId="54" applyNumberFormat="1" applyFont="1" applyFill="1">
      <alignment/>
      <protection/>
    </xf>
    <xf numFmtId="49" fontId="33" fillId="0" borderId="22" xfId="53" applyNumberFormat="1" applyFont="1" applyFill="1" applyBorder="1" applyAlignment="1">
      <alignment horizontal="center" vertical="center"/>
      <protection/>
    </xf>
    <xf numFmtId="4" fontId="33" fillId="0" borderId="19" xfId="64" applyNumberFormat="1" applyFont="1" applyFill="1" applyBorder="1" applyAlignment="1" applyProtection="1">
      <alignment horizontal="center" vertical="center" shrinkToFit="1"/>
      <protection/>
    </xf>
    <xf numFmtId="49" fontId="33" fillId="0" borderId="12" xfId="53" applyNumberFormat="1" applyFont="1" applyFill="1" applyBorder="1" applyAlignment="1">
      <alignment horizontal="center" vertical="center"/>
      <protection/>
    </xf>
    <xf numFmtId="0" fontId="33" fillId="0" borderId="0" xfId="54" applyFont="1" applyFill="1" applyAlignment="1">
      <alignment horizontal="left" vertical="top"/>
      <protection/>
    </xf>
    <xf numFmtId="49" fontId="33" fillId="0" borderId="23" xfId="53" applyNumberFormat="1" applyFont="1" applyFill="1" applyBorder="1" applyAlignment="1">
      <alignment horizontal="center" vertical="center"/>
      <protection/>
    </xf>
    <xf numFmtId="0" fontId="33" fillId="0" borderId="19" xfId="54" applyFont="1" applyFill="1" applyBorder="1" applyAlignment="1">
      <alignment horizontal="left" vertical="top" wrapText="1"/>
      <protection/>
    </xf>
    <xf numFmtId="0" fontId="33" fillId="0" borderId="20" xfId="54" applyFont="1" applyFill="1" applyBorder="1" applyAlignment="1">
      <alignment horizontal="left" vertical="top" wrapText="1"/>
      <protection/>
    </xf>
    <xf numFmtId="4" fontId="26" fillId="0" borderId="0" xfId="54" applyNumberFormat="1" applyFont="1" applyFill="1" applyAlignment="1">
      <alignment wrapText="1"/>
      <protection/>
    </xf>
    <xf numFmtId="4" fontId="27" fillId="0" borderId="0" xfId="54" applyNumberFormat="1" applyFont="1" applyFill="1">
      <alignment/>
      <protection/>
    </xf>
    <xf numFmtId="49" fontId="33" fillId="0" borderId="19" xfId="54" applyNumberFormat="1" applyFont="1" applyFill="1" applyBorder="1" applyAlignment="1">
      <alignment horizontal="left" vertical="top" wrapText="1"/>
      <protection/>
    </xf>
    <xf numFmtId="0" fontId="33" fillId="0" borderId="12" xfId="54" applyFont="1" applyFill="1" applyBorder="1" applyAlignment="1">
      <alignment horizontal="left" vertical="top" wrapText="1"/>
      <protection/>
    </xf>
    <xf numFmtId="4" fontId="33" fillId="0" borderId="24" xfId="54" applyNumberFormat="1" applyFont="1" applyFill="1" applyBorder="1" applyAlignment="1">
      <alignment horizontal="center" vertical="center" wrapText="1"/>
      <protection/>
    </xf>
    <xf numFmtId="0" fontId="33" fillId="0" borderId="25" xfId="54" applyFont="1" applyFill="1" applyBorder="1" applyAlignment="1">
      <alignment wrapText="1"/>
      <protection/>
    </xf>
    <xf numFmtId="0" fontId="33" fillId="0" borderId="25" xfId="53" applyNumberFormat="1" applyFont="1" applyFill="1" applyBorder="1" applyAlignment="1">
      <alignment horizontal="left" vertical="top" wrapText="1"/>
      <protection/>
    </xf>
    <xf numFmtId="0" fontId="22" fillId="0" borderId="19" xfId="54" applyFont="1" applyFill="1" applyBorder="1" applyAlignment="1">
      <alignment horizontal="left" vertical="top" wrapText="1"/>
      <protection/>
    </xf>
    <xf numFmtId="4" fontId="22" fillId="0" borderId="19" xfId="54" applyNumberFormat="1" applyFont="1" applyFill="1" applyBorder="1" applyAlignment="1">
      <alignment horizontal="center" vertical="center" wrapText="1"/>
      <protection/>
    </xf>
    <xf numFmtId="4" fontId="22" fillId="0" borderId="20" xfId="54" applyNumberFormat="1" applyFont="1" applyFill="1" applyBorder="1" applyAlignment="1">
      <alignment horizontal="center" vertical="center" wrapText="1"/>
      <protection/>
    </xf>
    <xf numFmtId="47" fontId="33" fillId="0" borderId="19" xfId="54" applyNumberFormat="1" applyFont="1" applyFill="1" applyBorder="1" applyAlignment="1">
      <alignment horizontal="left" vertical="top" wrapText="1"/>
      <protection/>
    </xf>
    <xf numFmtId="49" fontId="33" fillId="0" borderId="19" xfId="54" applyNumberFormat="1" applyFont="1" applyFill="1" applyBorder="1" applyAlignment="1">
      <alignment horizontal="center" vertical="center"/>
      <protection/>
    </xf>
    <xf numFmtId="195" fontId="33" fillId="0" borderId="19" xfId="54" applyNumberFormat="1" applyFont="1" applyFill="1" applyBorder="1" applyAlignment="1">
      <alignment horizontal="left" vertical="top" wrapText="1"/>
      <protection/>
    </xf>
    <xf numFmtId="0" fontId="22" fillId="0" borderId="19" xfId="53" applyNumberFormat="1" applyFont="1" applyFill="1" applyBorder="1" applyAlignment="1">
      <alignment horizontal="left" vertical="center" wrapText="1"/>
      <protection/>
    </xf>
    <xf numFmtId="49" fontId="22" fillId="0" borderId="19" xfId="54" applyNumberFormat="1" applyFont="1" applyFill="1" applyBorder="1" applyAlignment="1">
      <alignment horizontal="center" vertical="center"/>
      <protection/>
    </xf>
    <xf numFmtId="49" fontId="33" fillId="0" borderId="19" xfId="54" applyNumberFormat="1" applyFont="1" applyFill="1" applyBorder="1" applyAlignment="1">
      <alignment horizontal="center" vertical="top"/>
      <protection/>
    </xf>
    <xf numFmtId="0" fontId="22" fillId="0" borderId="19" xfId="54" applyNumberFormat="1" applyFont="1" applyFill="1" applyBorder="1" applyAlignment="1">
      <alignment horizontal="left" vertical="top" wrapText="1"/>
      <protection/>
    </xf>
    <xf numFmtId="194" fontId="26" fillId="0" borderId="0" xfId="64" applyNumberFormat="1" applyFont="1" applyFill="1" applyBorder="1" applyAlignment="1" applyProtection="1">
      <alignment/>
      <protection/>
    </xf>
    <xf numFmtId="43" fontId="26" fillId="0" borderId="0" xfId="54" applyNumberFormat="1" applyFont="1" applyFill="1" applyBorder="1">
      <alignment/>
      <protection/>
    </xf>
    <xf numFmtId="0" fontId="0" fillId="0" borderId="0" xfId="0" applyFont="1" applyAlignment="1">
      <alignment/>
    </xf>
    <xf numFmtId="0" fontId="22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center" vertical="top"/>
    </xf>
    <xf numFmtId="0" fontId="27" fillId="0" borderId="12" xfId="0" applyFont="1" applyFill="1" applyBorder="1" applyAlignment="1">
      <alignment horizontal="left" vertical="top" wrapText="1"/>
    </xf>
    <xf numFmtId="0" fontId="27" fillId="0" borderId="12" xfId="0" applyFont="1" applyFill="1" applyBorder="1" applyAlignment="1">
      <alignment horizontal="center" wrapText="1"/>
    </xf>
    <xf numFmtId="4" fontId="27" fillId="0" borderId="12" xfId="0" applyNumberFormat="1" applyFont="1" applyFill="1" applyBorder="1" applyAlignment="1">
      <alignment horizontal="center" wrapText="1"/>
    </xf>
    <xf numFmtId="2" fontId="27" fillId="0" borderId="12" xfId="0" applyNumberFormat="1" applyFont="1" applyBorder="1" applyAlignment="1">
      <alignment/>
    </xf>
    <xf numFmtId="0" fontId="26" fillId="0" borderId="12" xfId="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center" wrapText="1"/>
    </xf>
    <xf numFmtId="4" fontId="26" fillId="0" borderId="12" xfId="0" applyNumberFormat="1" applyFont="1" applyFill="1" applyBorder="1" applyAlignment="1">
      <alignment horizontal="center" wrapText="1"/>
    </xf>
    <xf numFmtId="4" fontId="26" fillId="0" borderId="12" xfId="0" applyNumberFormat="1" applyFont="1" applyBorder="1" applyAlignment="1">
      <alignment/>
    </xf>
    <xf numFmtId="2" fontId="26" fillId="0" borderId="12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26" fillId="0" borderId="12" xfId="0" applyFont="1" applyFill="1" applyBorder="1" applyAlignment="1">
      <alignment horizontal="center" vertical="top"/>
    </xf>
    <xf numFmtId="0" fontId="26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4" fontId="27" fillId="0" borderId="12" xfId="0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 horizontal="left" wrapText="1"/>
    </xf>
    <xf numFmtId="0" fontId="26" fillId="0" borderId="11" xfId="0" applyFont="1" applyFill="1" applyBorder="1" applyAlignment="1">
      <alignment horizontal="left" wrapText="1"/>
    </xf>
    <xf numFmtId="0" fontId="26" fillId="0" borderId="13" xfId="0" applyFont="1" applyFill="1" applyBorder="1" applyAlignment="1">
      <alignment horizontal="left" wrapText="1"/>
    </xf>
    <xf numFmtId="0" fontId="3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6" fillId="0" borderId="14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27" fillId="0" borderId="14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7" fillId="0" borderId="14" xfId="0" applyFont="1" applyFill="1" applyBorder="1" applyAlignment="1">
      <alignment wrapText="1"/>
    </xf>
    <xf numFmtId="0" fontId="27" fillId="0" borderId="11" xfId="0" applyFont="1" applyFill="1" applyBorder="1" applyAlignment="1">
      <alignment wrapText="1"/>
    </xf>
    <xf numFmtId="0" fontId="26" fillId="0" borderId="14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left"/>
    </xf>
    <xf numFmtId="0" fontId="26" fillId="0" borderId="13" xfId="0" applyFont="1" applyFill="1" applyBorder="1" applyAlignment="1">
      <alignment horizontal="left"/>
    </xf>
    <xf numFmtId="0" fontId="26" fillId="0" borderId="14" xfId="0" applyFont="1" applyFill="1" applyBorder="1" applyAlignment="1">
      <alignment/>
    </xf>
    <xf numFmtId="0" fontId="26" fillId="0" borderId="10" xfId="0" applyFont="1" applyBorder="1" applyAlignment="1">
      <alignment horizontal="center" wrapText="1"/>
    </xf>
    <xf numFmtId="0" fontId="26" fillId="0" borderId="26" xfId="0" applyFont="1" applyFill="1" applyBorder="1" applyAlignment="1">
      <alignment horizontal="center" wrapText="1"/>
    </xf>
    <xf numFmtId="0" fontId="26" fillId="0" borderId="27" xfId="0" applyFont="1" applyFill="1" applyBorder="1" applyAlignment="1">
      <alignment horizontal="center" wrapText="1"/>
    </xf>
    <xf numFmtId="0" fontId="26" fillId="0" borderId="16" xfId="0" applyFont="1" applyFill="1" applyBorder="1" applyAlignment="1">
      <alignment horizontal="center" wrapText="1"/>
    </xf>
    <xf numFmtId="0" fontId="27" fillId="0" borderId="11" xfId="0" applyNumberFormat="1" applyFont="1" applyFill="1" applyBorder="1" applyAlignment="1">
      <alignment/>
    </xf>
    <xf numFmtId="0" fontId="27" fillId="0" borderId="13" xfId="0" applyNumberFormat="1" applyFont="1" applyFill="1" applyBorder="1" applyAlignment="1">
      <alignment/>
    </xf>
    <xf numFmtId="0" fontId="28" fillId="0" borderId="14" xfId="0" applyFont="1" applyFill="1" applyBorder="1" applyAlignment="1">
      <alignment wrapText="1"/>
    </xf>
    <xf numFmtId="0" fontId="28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/>
    </xf>
    <xf numFmtId="0" fontId="26" fillId="0" borderId="12" xfId="0" applyFont="1" applyBorder="1" applyAlignment="1">
      <alignment/>
    </xf>
    <xf numFmtId="0" fontId="29" fillId="0" borderId="14" xfId="0" applyFont="1" applyFill="1" applyBorder="1" applyAlignment="1">
      <alignment wrapText="1"/>
    </xf>
    <xf numFmtId="0" fontId="29" fillId="0" borderId="11" xfId="0" applyFont="1" applyFill="1" applyBorder="1" applyAlignment="1">
      <alignment wrapText="1"/>
    </xf>
    <xf numFmtId="0" fontId="27" fillId="0" borderId="14" xfId="0" applyNumberFormat="1" applyFont="1" applyFill="1" applyBorder="1" applyAlignment="1">
      <alignment horizontal="left" wrapText="1"/>
    </xf>
    <xf numFmtId="0" fontId="27" fillId="0" borderId="11" xfId="0" applyNumberFormat="1" applyFont="1" applyFill="1" applyBorder="1" applyAlignment="1">
      <alignment horizontal="left" wrapText="1"/>
    </xf>
    <xf numFmtId="0" fontId="27" fillId="0" borderId="13" xfId="0" applyNumberFormat="1" applyFont="1" applyFill="1" applyBorder="1" applyAlignment="1">
      <alignment horizontal="left" wrapText="1"/>
    </xf>
    <xf numFmtId="0" fontId="29" fillId="0" borderId="14" xfId="0" applyFont="1" applyFill="1" applyBorder="1" applyAlignment="1">
      <alignment horizontal="left" wrapText="1"/>
    </xf>
    <xf numFmtId="0" fontId="29" fillId="0" borderId="11" xfId="0" applyFont="1" applyFill="1" applyBorder="1" applyAlignment="1">
      <alignment horizontal="left" wrapText="1"/>
    </xf>
    <xf numFmtId="0" fontId="29" fillId="0" borderId="13" xfId="0" applyFont="1" applyFill="1" applyBorder="1" applyAlignment="1">
      <alignment horizontal="left" wrapText="1"/>
    </xf>
    <xf numFmtId="0" fontId="29" fillId="0" borderId="14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0" fontId="30" fillId="0" borderId="13" xfId="0" applyFont="1" applyFill="1" applyBorder="1" applyAlignment="1">
      <alignment/>
    </xf>
    <xf numFmtId="0" fontId="26" fillId="0" borderId="14" xfId="0" applyNumberFormat="1" applyFont="1" applyFill="1" applyBorder="1" applyAlignment="1">
      <alignment horizontal="left"/>
    </xf>
    <xf numFmtId="0" fontId="26" fillId="0" borderId="11" xfId="0" applyNumberFormat="1" applyFont="1" applyFill="1" applyBorder="1" applyAlignment="1">
      <alignment horizontal="left"/>
    </xf>
    <xf numFmtId="0" fontId="26" fillId="0" borderId="13" xfId="0" applyNumberFormat="1" applyFont="1" applyFill="1" applyBorder="1" applyAlignment="1">
      <alignment horizontal="left"/>
    </xf>
    <xf numFmtId="0" fontId="29" fillId="0" borderId="11" xfId="0" applyFont="1" applyFill="1" applyBorder="1" applyAlignment="1">
      <alignment/>
    </xf>
    <xf numFmtId="0" fontId="29" fillId="0" borderId="13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30" fillId="0" borderId="14" xfId="0" applyFont="1" applyFill="1" applyBorder="1" applyAlignment="1">
      <alignment wrapText="1"/>
    </xf>
    <xf numFmtId="0" fontId="30" fillId="0" borderId="11" xfId="0" applyFont="1" applyFill="1" applyBorder="1" applyAlignment="1">
      <alignment wrapText="1"/>
    </xf>
    <xf numFmtId="0" fontId="30" fillId="0" borderId="13" xfId="0" applyFont="1" applyFill="1" applyBorder="1" applyAlignment="1">
      <alignment horizontal="left" wrapText="1"/>
    </xf>
    <xf numFmtId="0" fontId="30" fillId="0" borderId="12" xfId="0" applyFont="1" applyFill="1" applyBorder="1" applyAlignment="1">
      <alignment/>
    </xf>
    <xf numFmtId="0" fontId="30" fillId="0" borderId="12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26" fillId="0" borderId="26" xfId="0" applyFont="1" applyFill="1" applyBorder="1" applyAlignment="1">
      <alignment/>
    </xf>
    <xf numFmtId="0" fontId="26" fillId="0" borderId="27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0" fontId="26" fillId="0" borderId="14" xfId="0" applyNumberFormat="1" applyFont="1" applyFill="1" applyBorder="1" applyAlignment="1">
      <alignment horizontal="left" vertical="top" wrapText="1"/>
    </xf>
    <xf numFmtId="0" fontId="26" fillId="0" borderId="28" xfId="0" applyFont="1" applyFill="1" applyBorder="1" applyAlignment="1">
      <alignment horizontal="left" wrapText="1"/>
    </xf>
    <xf numFmtId="0" fontId="26" fillId="0" borderId="29" xfId="0" applyFont="1" applyFill="1" applyBorder="1" applyAlignment="1">
      <alignment horizontal="left" wrapText="1"/>
    </xf>
    <xf numFmtId="0" fontId="26" fillId="0" borderId="17" xfId="0" applyFont="1" applyFill="1" applyBorder="1" applyAlignment="1">
      <alignment horizontal="left" wrapText="1"/>
    </xf>
    <xf numFmtId="0" fontId="27" fillId="0" borderId="14" xfId="0" applyFont="1" applyFill="1" applyBorder="1" applyAlignment="1">
      <alignment horizontal="left" wrapText="1"/>
    </xf>
    <xf numFmtId="0" fontId="27" fillId="0" borderId="11" xfId="0" applyFont="1" applyFill="1" applyBorder="1" applyAlignment="1">
      <alignment horizontal="left" wrapText="1"/>
    </xf>
    <xf numFmtId="0" fontId="27" fillId="0" borderId="13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7" fillId="0" borderId="30" xfId="0" applyFont="1" applyFill="1" applyBorder="1" applyAlignment="1">
      <alignment/>
    </xf>
    <xf numFmtId="0" fontId="26" fillId="0" borderId="31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27" fillId="0" borderId="31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7" fillId="0" borderId="0" xfId="0" applyFont="1" applyFill="1" applyBorder="1" applyAlignment="1">
      <alignment wrapText="1"/>
    </xf>
    <xf numFmtId="0" fontId="26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wrapText="1"/>
    </xf>
    <xf numFmtId="0" fontId="26" fillId="0" borderId="14" xfId="0" applyNumberFormat="1" applyFont="1" applyFill="1" applyBorder="1" applyAlignment="1">
      <alignment/>
    </xf>
    <xf numFmtId="0" fontId="26" fillId="0" borderId="11" xfId="0" applyNumberFormat="1" applyFont="1" applyFill="1" applyBorder="1" applyAlignment="1">
      <alignment/>
    </xf>
    <xf numFmtId="0" fontId="26" fillId="0" borderId="13" xfId="0" applyNumberFormat="1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7" fillId="0" borderId="0" xfId="0" applyFont="1" applyFill="1" applyBorder="1" applyAlignment="1">
      <alignment horizontal="left" wrapText="1"/>
    </xf>
    <xf numFmtId="0" fontId="31" fillId="0" borderId="0" xfId="0" applyFont="1" applyBorder="1" applyAlignment="1">
      <alignment horizontal="left" wrapText="1"/>
    </xf>
    <xf numFmtId="0" fontId="27" fillId="0" borderId="13" xfId="0" applyFont="1" applyFill="1" applyBorder="1" applyAlignment="1">
      <alignment wrapText="1"/>
    </xf>
    <xf numFmtId="0" fontId="31" fillId="0" borderId="11" xfId="0" applyFont="1" applyFill="1" applyBorder="1" applyAlignment="1">
      <alignment wrapText="1"/>
    </xf>
    <xf numFmtId="0" fontId="31" fillId="0" borderId="13" xfId="0" applyFont="1" applyFill="1" applyBorder="1" applyAlignment="1">
      <alignment wrapText="1"/>
    </xf>
    <xf numFmtId="0" fontId="27" fillId="0" borderId="26" xfId="0" applyFont="1" applyFill="1" applyBorder="1" applyAlignment="1">
      <alignment/>
    </xf>
    <xf numFmtId="0" fontId="27" fillId="0" borderId="26" xfId="0" applyFont="1" applyFill="1" applyBorder="1" applyAlignment="1">
      <alignment wrapText="1"/>
    </xf>
    <xf numFmtId="0" fontId="27" fillId="0" borderId="27" xfId="0" applyFont="1" applyFill="1" applyBorder="1" applyAlignment="1">
      <alignment wrapText="1"/>
    </xf>
    <xf numFmtId="0" fontId="27" fillId="0" borderId="16" xfId="0" applyFont="1" applyFill="1" applyBorder="1" applyAlignment="1">
      <alignment wrapText="1"/>
    </xf>
    <xf numFmtId="0" fontId="23" fillId="0" borderId="0" xfId="54" applyFont="1" applyFill="1" applyBorder="1" applyAlignment="1">
      <alignment vertical="top" wrapText="1"/>
      <protection/>
    </xf>
    <xf numFmtId="0" fontId="0" fillId="0" borderId="0" xfId="54" applyFont="1" applyAlignment="1">
      <alignment wrapText="1"/>
      <protection/>
    </xf>
    <xf numFmtId="0" fontId="36" fillId="0" borderId="15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top" wrapText="1"/>
    </xf>
    <xf numFmtId="0" fontId="35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рилож 4,5,6 2015 (отч.полугод.2015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Прилож 4,5,6 2015 (отч.полугод.2015)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\&#1056;&#1072;&#1073;&#1086;&#1095;&#1080;&#1081;%20&#1089;&#1090;&#1086;&#1083;\&#1056;&#1045;&#1064;&#1045;&#1053;&#1048;&#1045;%20&#1044;&#1059;&#1052;&#1067;%202015\&#1056;&#1044;%20&#1054;&#1058;&#1063;&#1045;&#1058;%20&#1055;&#1054;&#1051;&#1059;&#1043;&#1054;&#1044;&#1048;&#1045;%202015\&#1055;&#1088;&#1080;&#1083;&#1086;&#1078;%204,5,6%202015%20(&#1086;&#1090;&#1095;.&#1087;&#1086;&#1083;&#1091;&#1075;&#1086;&#1076;.201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4"/>
      <sheetName val="пр 5"/>
      <sheetName val="пр 6"/>
    </sheetNames>
    <sheetDataSet>
      <sheetData sheetId="2">
        <row r="68">
          <cell r="L68">
            <v>489313095.97999996</v>
          </cell>
          <cell r="M68">
            <v>167001017.29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workbookViewId="0" topLeftCell="A1">
      <selection activeCell="A1" sqref="A1:K1"/>
    </sheetView>
  </sheetViews>
  <sheetFormatPr defaultColWidth="9.140625" defaultRowHeight="12.75"/>
  <cols>
    <col min="1" max="1" width="5.8515625" style="1" customWidth="1"/>
    <col min="2" max="3" width="9.140625" style="1" customWidth="1"/>
    <col min="4" max="4" width="6.421875" style="1" customWidth="1"/>
    <col min="5" max="8" width="9.140625" style="1" customWidth="1"/>
    <col min="9" max="9" width="5.28125" style="1" customWidth="1"/>
    <col min="10" max="10" width="0.5625" style="1" hidden="1" customWidth="1"/>
    <col min="11" max="11" width="13.28125" style="1" customWidth="1"/>
    <col min="12" max="12" width="14.57421875" style="1" customWidth="1"/>
    <col min="13" max="13" width="9.421875" style="1" customWidth="1"/>
    <col min="14" max="16384" width="9.140625" style="1" customWidth="1"/>
  </cols>
  <sheetData>
    <row r="1" spans="1:13" ht="51" customHeight="1">
      <c r="A1" s="32" t="s">
        <v>904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"/>
      <c r="M1" s="2"/>
    </row>
    <row r="2" spans="1:13" ht="19.5" customHeight="1">
      <c r="A2" s="4"/>
      <c r="B2" s="3"/>
      <c r="C2" s="3"/>
      <c r="D2" s="3"/>
      <c r="E2" s="3"/>
      <c r="F2" s="3"/>
      <c r="G2" s="3"/>
      <c r="H2" s="3"/>
      <c r="I2" s="3"/>
      <c r="J2" s="3"/>
      <c r="K2" s="5"/>
      <c r="L2" s="3"/>
      <c r="M2" s="5" t="s">
        <v>931</v>
      </c>
    </row>
    <row r="3" spans="1:13" ht="12.75">
      <c r="A3" s="33" t="s">
        <v>932</v>
      </c>
      <c r="B3" s="35" t="s">
        <v>933</v>
      </c>
      <c r="C3" s="35"/>
      <c r="D3" s="35"/>
      <c r="E3" s="35" t="s">
        <v>934</v>
      </c>
      <c r="F3" s="35"/>
      <c r="G3" s="35"/>
      <c r="H3" s="35"/>
      <c r="I3" s="35"/>
      <c r="J3" s="35"/>
      <c r="K3" s="33" t="s">
        <v>935</v>
      </c>
      <c r="L3" s="198" t="s">
        <v>936</v>
      </c>
      <c r="M3" s="33" t="s">
        <v>937</v>
      </c>
    </row>
    <row r="4" spans="1:13" ht="12.75">
      <c r="A4" s="34"/>
      <c r="B4" s="35"/>
      <c r="C4" s="35"/>
      <c r="D4" s="35"/>
      <c r="E4" s="35"/>
      <c r="F4" s="35"/>
      <c r="G4" s="35"/>
      <c r="H4" s="35"/>
      <c r="I4" s="35"/>
      <c r="J4" s="35"/>
      <c r="K4" s="34"/>
      <c r="L4" s="199"/>
      <c r="M4" s="190"/>
    </row>
    <row r="5" spans="1:13" ht="12.75">
      <c r="A5" s="6">
        <v>1</v>
      </c>
      <c r="B5" s="191">
        <v>2</v>
      </c>
      <c r="C5" s="192"/>
      <c r="D5" s="193"/>
      <c r="E5" s="191">
        <v>3</v>
      </c>
      <c r="F5" s="192"/>
      <c r="G5" s="192"/>
      <c r="H5" s="192"/>
      <c r="I5" s="192"/>
      <c r="J5" s="192"/>
      <c r="K5" s="7">
        <v>4</v>
      </c>
      <c r="L5" s="7">
        <v>5</v>
      </c>
      <c r="M5" s="7">
        <v>6</v>
      </c>
    </row>
    <row r="6" spans="1:13" ht="13.5" customHeight="1">
      <c r="A6" s="6" t="s">
        <v>938</v>
      </c>
      <c r="B6" s="36" t="s">
        <v>939</v>
      </c>
      <c r="C6" s="194"/>
      <c r="D6" s="195"/>
      <c r="E6" s="184" t="s">
        <v>940</v>
      </c>
      <c r="F6" s="185"/>
      <c r="G6" s="185"/>
      <c r="H6" s="185"/>
      <c r="I6" s="185"/>
      <c r="J6" s="185"/>
      <c r="K6" s="9">
        <f>K7+K10+K13+K19+K26+K33+K41+K47+K35+K9</f>
        <v>165321000</v>
      </c>
      <c r="L6" s="9">
        <f>L7+L10+L13+L19+L26+L33+L41+L47+L35+L9+L23+L55</f>
        <v>64032824.49</v>
      </c>
      <c r="M6" s="10">
        <f aca="true" t="shared" si="0" ref="M6:M21">L6/K6*100</f>
        <v>38.732420255140006</v>
      </c>
    </row>
    <row r="7" spans="1:13" ht="18" customHeight="1">
      <c r="A7" s="6" t="s">
        <v>941</v>
      </c>
      <c r="B7" s="36" t="s">
        <v>942</v>
      </c>
      <c r="C7" s="182"/>
      <c r="D7" s="183"/>
      <c r="E7" s="196" t="s">
        <v>943</v>
      </c>
      <c r="F7" s="197"/>
      <c r="G7" s="197"/>
      <c r="H7" s="197"/>
      <c r="I7" s="197"/>
      <c r="J7" s="197"/>
      <c r="K7" s="9">
        <f>K8</f>
        <v>116562000</v>
      </c>
      <c r="L7" s="10">
        <f>L8</f>
        <v>45188486.99</v>
      </c>
      <c r="M7" s="10">
        <f t="shared" si="0"/>
        <v>38.767769075685045</v>
      </c>
    </row>
    <row r="8" spans="1:13" ht="19.5" customHeight="1">
      <c r="A8" s="6" t="s">
        <v>944</v>
      </c>
      <c r="B8" s="36" t="s">
        <v>945</v>
      </c>
      <c r="C8" s="194"/>
      <c r="D8" s="195"/>
      <c r="E8" s="200" t="s">
        <v>946</v>
      </c>
      <c r="F8" s="201"/>
      <c r="G8" s="201"/>
      <c r="H8" s="201"/>
      <c r="I8" s="201"/>
      <c r="J8" s="201"/>
      <c r="K8" s="9">
        <v>116562000</v>
      </c>
      <c r="L8" s="10">
        <v>45188486.99</v>
      </c>
      <c r="M8" s="10">
        <f t="shared" si="0"/>
        <v>38.767769075685045</v>
      </c>
    </row>
    <row r="9" spans="1:13" ht="54.75" customHeight="1">
      <c r="A9" s="6" t="s">
        <v>947</v>
      </c>
      <c r="B9" s="202" t="s">
        <v>948</v>
      </c>
      <c r="C9" s="203"/>
      <c r="D9" s="204"/>
      <c r="E9" s="205" t="s">
        <v>949</v>
      </c>
      <c r="F9" s="206"/>
      <c r="G9" s="206"/>
      <c r="H9" s="206"/>
      <c r="I9" s="206"/>
      <c r="J9" s="207"/>
      <c r="K9" s="9">
        <v>4831000</v>
      </c>
      <c r="L9" s="9">
        <v>2641328.58</v>
      </c>
      <c r="M9" s="10">
        <f t="shared" si="0"/>
        <v>54.674572138273646</v>
      </c>
    </row>
    <row r="10" spans="1:13" ht="24" customHeight="1">
      <c r="A10" s="6" t="s">
        <v>950</v>
      </c>
      <c r="B10" s="36" t="s">
        <v>951</v>
      </c>
      <c r="C10" s="182"/>
      <c r="D10" s="183"/>
      <c r="E10" s="184" t="s">
        <v>952</v>
      </c>
      <c r="F10" s="185"/>
      <c r="G10" s="185"/>
      <c r="H10" s="185"/>
      <c r="I10" s="185"/>
      <c r="J10" s="185"/>
      <c r="K10" s="9">
        <f>K11+K12</f>
        <v>5680000</v>
      </c>
      <c r="L10" s="9">
        <f>L11+L12</f>
        <v>2490617.75</v>
      </c>
      <c r="M10" s="10">
        <f t="shared" si="0"/>
        <v>43.848904049295776</v>
      </c>
    </row>
    <row r="11" spans="1:13" ht="34.5" customHeight="1">
      <c r="A11" s="6" t="s">
        <v>953</v>
      </c>
      <c r="B11" s="249" t="s">
        <v>954</v>
      </c>
      <c r="C11" s="250"/>
      <c r="D11" s="251"/>
      <c r="E11" s="178" t="s">
        <v>955</v>
      </c>
      <c r="F11" s="48"/>
      <c r="G11" s="48"/>
      <c r="H11" s="48"/>
      <c r="I11" s="48"/>
      <c r="J11" s="48"/>
      <c r="K11" s="14">
        <v>5323000</v>
      </c>
      <c r="L11" s="15">
        <v>2257311.06</v>
      </c>
      <c r="M11" s="15">
        <f t="shared" si="0"/>
        <v>42.40674544429833</v>
      </c>
    </row>
    <row r="12" spans="1:13" ht="45" customHeight="1">
      <c r="A12" s="6" t="s">
        <v>956</v>
      </c>
      <c r="B12" s="211" t="s">
        <v>957</v>
      </c>
      <c r="C12" s="212"/>
      <c r="D12" s="213"/>
      <c r="E12" s="172" t="s">
        <v>958</v>
      </c>
      <c r="F12" s="173"/>
      <c r="G12" s="173"/>
      <c r="H12" s="173"/>
      <c r="I12" s="173"/>
      <c r="J12" s="174"/>
      <c r="K12" s="17">
        <v>357000</v>
      </c>
      <c r="L12" s="15">
        <v>233306.69</v>
      </c>
      <c r="M12" s="15">
        <f t="shared" si="0"/>
        <v>65.35201400560224</v>
      </c>
    </row>
    <row r="13" spans="1:13" ht="25.5" customHeight="1">
      <c r="A13" s="6" t="s">
        <v>959</v>
      </c>
      <c r="B13" s="181" t="s">
        <v>960</v>
      </c>
      <c r="C13" s="182"/>
      <c r="D13" s="183"/>
      <c r="E13" s="184" t="s">
        <v>961</v>
      </c>
      <c r="F13" s="185"/>
      <c r="G13" s="185"/>
      <c r="H13" s="185"/>
      <c r="I13" s="185"/>
      <c r="J13" s="185"/>
      <c r="K13" s="9">
        <f>K14+K16</f>
        <v>21849000</v>
      </c>
      <c r="L13" s="9">
        <f>L14+L16</f>
        <v>7889838.11</v>
      </c>
      <c r="M13" s="10">
        <f t="shared" si="0"/>
        <v>36.110751567577466</v>
      </c>
    </row>
    <row r="14" spans="1:13" ht="24" customHeight="1">
      <c r="A14" s="6" t="s">
        <v>962</v>
      </c>
      <c r="B14" s="208" t="s">
        <v>963</v>
      </c>
      <c r="C14" s="214"/>
      <c r="D14" s="215"/>
      <c r="E14" s="200" t="s">
        <v>964</v>
      </c>
      <c r="F14" s="201"/>
      <c r="G14" s="201"/>
      <c r="H14" s="201"/>
      <c r="I14" s="201"/>
      <c r="J14" s="201"/>
      <c r="K14" s="19">
        <f>K15</f>
        <v>3085000</v>
      </c>
      <c r="L14" s="10">
        <f>L15</f>
        <v>395758.37</v>
      </c>
      <c r="M14" s="10">
        <f t="shared" si="0"/>
        <v>12.828472285251216</v>
      </c>
    </row>
    <row r="15" spans="1:13" ht="45" customHeight="1">
      <c r="A15" s="6" t="s">
        <v>965</v>
      </c>
      <c r="B15" s="20" t="s">
        <v>966</v>
      </c>
      <c r="C15" s="20"/>
      <c r="D15" s="20"/>
      <c r="E15" s="178" t="s">
        <v>967</v>
      </c>
      <c r="F15" s="48"/>
      <c r="G15" s="48"/>
      <c r="H15" s="48"/>
      <c r="I15" s="48"/>
      <c r="J15" s="48"/>
      <c r="K15" s="14">
        <v>3085000</v>
      </c>
      <c r="L15" s="15">
        <v>395758.37</v>
      </c>
      <c r="M15" s="15">
        <f t="shared" si="0"/>
        <v>12.828472285251216</v>
      </c>
    </row>
    <row r="16" spans="1:13" ht="22.5" customHeight="1">
      <c r="A16" s="6" t="s">
        <v>968</v>
      </c>
      <c r="B16" s="208" t="s">
        <v>969</v>
      </c>
      <c r="C16" s="209"/>
      <c r="D16" s="210"/>
      <c r="E16" s="200" t="s">
        <v>970</v>
      </c>
      <c r="F16" s="201"/>
      <c r="G16" s="201"/>
      <c r="H16" s="201"/>
      <c r="I16" s="201"/>
      <c r="J16" s="201"/>
      <c r="K16" s="21">
        <f>SUM(K17:K18)</f>
        <v>18764000</v>
      </c>
      <c r="L16" s="10">
        <f>L17+L18</f>
        <v>7494079.74</v>
      </c>
      <c r="M16" s="10">
        <f t="shared" si="0"/>
        <v>39.93860445534001</v>
      </c>
    </row>
    <row r="17" spans="1:13" ht="41.25" customHeight="1">
      <c r="A17" s="6" t="s">
        <v>971</v>
      </c>
      <c r="B17" s="189" t="s">
        <v>972</v>
      </c>
      <c r="C17" s="182"/>
      <c r="D17" s="183"/>
      <c r="E17" s="178" t="s">
        <v>1193</v>
      </c>
      <c r="F17" s="48"/>
      <c r="G17" s="48"/>
      <c r="H17" s="48"/>
      <c r="I17" s="48"/>
      <c r="J17" s="48"/>
      <c r="K17" s="17">
        <v>2600000</v>
      </c>
      <c r="L17" s="15">
        <v>606715.24</v>
      </c>
      <c r="M17" s="15">
        <f t="shared" si="0"/>
        <v>23.33520153846154</v>
      </c>
    </row>
    <row r="18" spans="1:13" ht="41.25" customHeight="1">
      <c r="A18" s="6" t="s">
        <v>973</v>
      </c>
      <c r="B18" s="189" t="s">
        <v>974</v>
      </c>
      <c r="C18" s="182"/>
      <c r="D18" s="183"/>
      <c r="E18" s="178" t="s">
        <v>1194</v>
      </c>
      <c r="F18" s="48"/>
      <c r="G18" s="48"/>
      <c r="H18" s="48"/>
      <c r="I18" s="48"/>
      <c r="J18" s="48"/>
      <c r="K18" s="17">
        <v>16164000</v>
      </c>
      <c r="L18" s="15">
        <v>6887364.5</v>
      </c>
      <c r="M18" s="15">
        <f t="shared" si="0"/>
        <v>42.60928297451126</v>
      </c>
    </row>
    <row r="19" spans="1:13" ht="15" customHeight="1">
      <c r="A19" s="6" t="s">
        <v>975</v>
      </c>
      <c r="B19" s="181" t="s">
        <v>976</v>
      </c>
      <c r="C19" s="182"/>
      <c r="D19" s="183"/>
      <c r="E19" s="184" t="s">
        <v>977</v>
      </c>
      <c r="F19" s="185"/>
      <c r="G19" s="185"/>
      <c r="H19" s="185"/>
      <c r="I19" s="185"/>
      <c r="J19" s="185"/>
      <c r="K19" s="9">
        <f>SUM(K20:K22)</f>
        <v>1218000</v>
      </c>
      <c r="L19" s="10">
        <f>L20</f>
        <v>604925.46</v>
      </c>
      <c r="M19" s="10">
        <f t="shared" si="0"/>
        <v>49.66547290640394</v>
      </c>
    </row>
    <row r="20" spans="1:13" ht="39" customHeight="1">
      <c r="A20" s="6" t="s">
        <v>978</v>
      </c>
      <c r="B20" s="189" t="s">
        <v>979</v>
      </c>
      <c r="C20" s="182"/>
      <c r="D20" s="183"/>
      <c r="E20" s="178" t="s">
        <v>980</v>
      </c>
      <c r="F20" s="48"/>
      <c r="G20" s="48"/>
      <c r="H20" s="48"/>
      <c r="I20" s="48"/>
      <c r="J20" s="48"/>
      <c r="K20" s="14">
        <v>1193000</v>
      </c>
      <c r="L20" s="15">
        <v>604925.46</v>
      </c>
      <c r="M20" s="15">
        <f t="shared" si="0"/>
        <v>50.70624140821458</v>
      </c>
    </row>
    <row r="21" spans="1:13" ht="97.5" customHeight="1">
      <c r="A21" s="6" t="s">
        <v>981</v>
      </c>
      <c r="B21" s="186" t="s">
        <v>982</v>
      </c>
      <c r="C21" s="187"/>
      <c r="D21" s="188"/>
      <c r="E21" s="172" t="s">
        <v>983</v>
      </c>
      <c r="F21" s="173"/>
      <c r="G21" s="173"/>
      <c r="H21" s="173"/>
      <c r="I21" s="173"/>
      <c r="J21" s="174"/>
      <c r="K21" s="14">
        <v>10000</v>
      </c>
      <c r="L21" s="15">
        <v>0</v>
      </c>
      <c r="M21" s="15">
        <f t="shared" si="0"/>
        <v>0</v>
      </c>
    </row>
    <row r="22" spans="1:13" ht="36" customHeight="1">
      <c r="A22" s="6" t="s">
        <v>984</v>
      </c>
      <c r="B22" s="186" t="s">
        <v>985</v>
      </c>
      <c r="C22" s="187"/>
      <c r="D22" s="188"/>
      <c r="E22" s="172" t="s">
        <v>986</v>
      </c>
      <c r="F22" s="173"/>
      <c r="G22" s="173"/>
      <c r="H22" s="173"/>
      <c r="I22" s="173"/>
      <c r="J22" s="174"/>
      <c r="K22" s="14">
        <v>15000</v>
      </c>
      <c r="L22" s="15">
        <v>0</v>
      </c>
      <c r="M22" s="15">
        <v>0</v>
      </c>
    </row>
    <row r="23" spans="1:13" ht="41.25" customHeight="1">
      <c r="A23" s="6" t="s">
        <v>987</v>
      </c>
      <c r="B23" s="181" t="s">
        <v>988</v>
      </c>
      <c r="C23" s="182"/>
      <c r="D23" s="183"/>
      <c r="E23" s="184" t="s">
        <v>989</v>
      </c>
      <c r="F23" s="257"/>
      <c r="G23" s="257"/>
      <c r="H23" s="257"/>
      <c r="I23" s="257"/>
      <c r="J23" s="258"/>
      <c r="K23" s="19">
        <v>0</v>
      </c>
      <c r="L23" s="10">
        <f>L24+L25</f>
        <v>18955.92</v>
      </c>
      <c r="M23" s="10">
        <v>0</v>
      </c>
    </row>
    <row r="24" spans="1:13" ht="43.5" customHeight="1">
      <c r="A24" s="6" t="s">
        <v>990</v>
      </c>
      <c r="B24" s="189" t="s">
        <v>991</v>
      </c>
      <c r="C24" s="182"/>
      <c r="D24" s="183"/>
      <c r="E24" s="178" t="s">
        <v>992</v>
      </c>
      <c r="F24" s="48"/>
      <c r="G24" s="48"/>
      <c r="H24" s="48"/>
      <c r="I24" s="48"/>
      <c r="J24" s="224"/>
      <c r="K24" s="14">
        <v>0</v>
      </c>
      <c r="L24" s="15">
        <v>18783.32</v>
      </c>
      <c r="M24" s="15">
        <v>0</v>
      </c>
    </row>
    <row r="25" spans="1:13" ht="70.5" customHeight="1">
      <c r="A25" s="6" t="s">
        <v>993</v>
      </c>
      <c r="B25" s="186" t="s">
        <v>994</v>
      </c>
      <c r="C25" s="187"/>
      <c r="D25" s="188"/>
      <c r="E25" s="172" t="s">
        <v>995</v>
      </c>
      <c r="F25" s="173"/>
      <c r="G25" s="173"/>
      <c r="H25" s="173"/>
      <c r="I25" s="173"/>
      <c r="J25" s="13"/>
      <c r="K25" s="14">
        <v>0</v>
      </c>
      <c r="L25" s="15">
        <v>172.6</v>
      </c>
      <c r="M25" s="15">
        <v>0</v>
      </c>
    </row>
    <row r="26" spans="1:13" ht="58.5" customHeight="1">
      <c r="A26" s="6" t="s">
        <v>996</v>
      </c>
      <c r="B26" s="181" t="s">
        <v>997</v>
      </c>
      <c r="C26" s="182"/>
      <c r="D26" s="183"/>
      <c r="E26" s="184" t="s">
        <v>998</v>
      </c>
      <c r="F26" s="185"/>
      <c r="G26" s="185"/>
      <c r="H26" s="185"/>
      <c r="I26" s="185"/>
      <c r="J26" s="185"/>
      <c r="K26" s="9">
        <f>K27+K32</f>
        <v>12707000</v>
      </c>
      <c r="L26" s="9">
        <f>L27+L32</f>
        <v>3574166.57</v>
      </c>
      <c r="M26" s="10">
        <f>L26/K26*100</f>
        <v>28.12754048949398</v>
      </c>
    </row>
    <row r="27" spans="1:13" ht="101.25" customHeight="1">
      <c r="A27" s="6" t="s">
        <v>999</v>
      </c>
      <c r="B27" s="181" t="s">
        <v>1000</v>
      </c>
      <c r="C27" s="216"/>
      <c r="D27" s="217"/>
      <c r="E27" s="184" t="s">
        <v>1001</v>
      </c>
      <c r="F27" s="48"/>
      <c r="G27" s="48"/>
      <c r="H27" s="48"/>
      <c r="I27" s="48"/>
      <c r="J27" s="48"/>
      <c r="K27" s="9">
        <f>K28+K30+K31+K29</f>
        <v>12700000</v>
      </c>
      <c r="L27" s="9">
        <f>L28+L30+L31+L29</f>
        <v>3573366.57</v>
      </c>
      <c r="M27" s="10">
        <f>L27/K27*100</f>
        <v>28.136744645669292</v>
      </c>
    </row>
    <row r="28" spans="1:13" ht="94.5" customHeight="1">
      <c r="A28" s="6" t="s">
        <v>1002</v>
      </c>
      <c r="B28" s="175" t="s">
        <v>1003</v>
      </c>
      <c r="C28" s="209"/>
      <c r="D28" s="210"/>
      <c r="E28" s="218" t="s">
        <v>1004</v>
      </c>
      <c r="F28" s="219"/>
      <c r="G28" s="219"/>
      <c r="H28" s="219"/>
      <c r="I28" s="219"/>
      <c r="J28" s="219"/>
      <c r="K28" s="17">
        <v>3736000</v>
      </c>
      <c r="L28" s="23">
        <v>1984632.16</v>
      </c>
      <c r="M28" s="15">
        <f>L28/K28*100</f>
        <v>53.12184582441113</v>
      </c>
    </row>
    <row r="29" spans="1:13" ht="94.5" customHeight="1">
      <c r="A29" s="6" t="s">
        <v>1005</v>
      </c>
      <c r="B29" s="49" t="s">
        <v>1006</v>
      </c>
      <c r="C29" s="50"/>
      <c r="D29" s="51"/>
      <c r="E29" s="52" t="s">
        <v>1007</v>
      </c>
      <c r="F29" s="31"/>
      <c r="G29" s="31"/>
      <c r="H29" s="31"/>
      <c r="I29" s="31"/>
      <c r="J29" s="22"/>
      <c r="K29" s="17">
        <v>0</v>
      </c>
      <c r="L29" s="23">
        <v>287.55</v>
      </c>
      <c r="M29" s="15">
        <v>0</v>
      </c>
    </row>
    <row r="30" spans="1:13" ht="94.5" customHeight="1">
      <c r="A30" s="6" t="s">
        <v>1008</v>
      </c>
      <c r="B30" s="175" t="s">
        <v>1009</v>
      </c>
      <c r="C30" s="209"/>
      <c r="D30" s="210"/>
      <c r="E30" s="52" t="s">
        <v>1010</v>
      </c>
      <c r="F30" s="31"/>
      <c r="G30" s="31"/>
      <c r="H30" s="31"/>
      <c r="I30" s="31"/>
      <c r="J30" s="220"/>
      <c r="K30" s="17">
        <v>29000</v>
      </c>
      <c r="L30" s="15">
        <v>0</v>
      </c>
      <c r="M30" s="15">
        <f aca="true" t="shared" si="1" ref="M30:M38">L30/K30*100</f>
        <v>0</v>
      </c>
    </row>
    <row r="31" spans="1:13" ht="58.5" customHeight="1">
      <c r="A31" s="6" t="s">
        <v>1011</v>
      </c>
      <c r="B31" s="49" t="s">
        <v>1012</v>
      </c>
      <c r="C31" s="50"/>
      <c r="D31" s="51"/>
      <c r="E31" s="52" t="s">
        <v>1013</v>
      </c>
      <c r="F31" s="31"/>
      <c r="G31" s="31"/>
      <c r="H31" s="31"/>
      <c r="I31" s="31"/>
      <c r="J31" s="220"/>
      <c r="K31" s="14">
        <v>8935000</v>
      </c>
      <c r="L31" s="15">
        <v>1588446.86</v>
      </c>
      <c r="M31" s="15">
        <f t="shared" si="1"/>
        <v>17.777804812534974</v>
      </c>
    </row>
    <row r="32" spans="1:13" ht="71.25" customHeight="1">
      <c r="A32" s="6" t="s">
        <v>1014</v>
      </c>
      <c r="B32" s="49" t="s">
        <v>1015</v>
      </c>
      <c r="C32" s="50"/>
      <c r="D32" s="51"/>
      <c r="E32" s="52" t="s">
        <v>1016</v>
      </c>
      <c r="F32" s="31"/>
      <c r="G32" s="31"/>
      <c r="H32" s="31"/>
      <c r="I32" s="31"/>
      <c r="J32" s="24"/>
      <c r="K32" s="14">
        <v>7000</v>
      </c>
      <c r="L32" s="15">
        <v>800</v>
      </c>
      <c r="M32" s="15">
        <f t="shared" si="1"/>
        <v>11.428571428571429</v>
      </c>
    </row>
    <row r="33" spans="1:13" ht="38.25" customHeight="1">
      <c r="A33" s="6" t="s">
        <v>1017</v>
      </c>
      <c r="B33" s="181" t="s">
        <v>1018</v>
      </c>
      <c r="C33" s="216"/>
      <c r="D33" s="217"/>
      <c r="E33" s="184" t="s">
        <v>1019</v>
      </c>
      <c r="F33" s="185"/>
      <c r="G33" s="185"/>
      <c r="H33" s="185"/>
      <c r="I33" s="185"/>
      <c r="J33" s="185"/>
      <c r="K33" s="9">
        <f>K34</f>
        <v>64000</v>
      </c>
      <c r="L33" s="10">
        <f>L34</f>
        <v>311148.9</v>
      </c>
      <c r="M33" s="10">
        <f t="shared" si="1"/>
        <v>486.17015625000005</v>
      </c>
    </row>
    <row r="34" spans="1:13" ht="39" customHeight="1">
      <c r="A34" s="6" t="s">
        <v>1020</v>
      </c>
      <c r="B34" s="189" t="s">
        <v>1021</v>
      </c>
      <c r="C34" s="182"/>
      <c r="D34" s="183"/>
      <c r="E34" s="178" t="s">
        <v>1022</v>
      </c>
      <c r="F34" s="48"/>
      <c r="G34" s="48"/>
      <c r="H34" s="48"/>
      <c r="I34" s="48"/>
      <c r="J34" s="48"/>
      <c r="K34" s="17">
        <v>64000</v>
      </c>
      <c r="L34" s="15">
        <v>311148.9</v>
      </c>
      <c r="M34" s="15">
        <f t="shared" si="1"/>
        <v>486.17015625000005</v>
      </c>
    </row>
    <row r="35" spans="1:13" ht="40.5" customHeight="1">
      <c r="A35" s="6" t="s">
        <v>1023</v>
      </c>
      <c r="B35" s="181" t="s">
        <v>1024</v>
      </c>
      <c r="C35" s="182"/>
      <c r="D35" s="183"/>
      <c r="E35" s="184" t="s">
        <v>1025</v>
      </c>
      <c r="F35" s="185"/>
      <c r="G35" s="185"/>
      <c r="H35" s="185"/>
      <c r="I35" s="185"/>
      <c r="J35" s="185"/>
      <c r="K35" s="9">
        <f>K36+K39</f>
        <v>323000</v>
      </c>
      <c r="L35" s="10">
        <f>L36+L39</f>
        <v>456214.17000000004</v>
      </c>
      <c r="M35" s="10">
        <f t="shared" si="1"/>
        <v>141.2427770897833</v>
      </c>
    </row>
    <row r="36" spans="1:13" ht="38.25" customHeight="1">
      <c r="A36" s="6" t="s">
        <v>1026</v>
      </c>
      <c r="B36" s="49" t="s">
        <v>1027</v>
      </c>
      <c r="C36" s="187"/>
      <c r="D36" s="188"/>
      <c r="E36" s="218" t="s">
        <v>1028</v>
      </c>
      <c r="F36" s="219"/>
      <c r="G36" s="219"/>
      <c r="H36" s="219"/>
      <c r="I36" s="219"/>
      <c r="J36" s="219"/>
      <c r="K36" s="17">
        <f>K37+K38</f>
        <v>323000</v>
      </c>
      <c r="L36" s="17">
        <f>L37+L38</f>
        <v>224277.29</v>
      </c>
      <c r="M36" s="15">
        <f t="shared" si="1"/>
        <v>69.43569349845201</v>
      </c>
    </row>
    <row r="37" spans="1:13" ht="85.5" customHeight="1">
      <c r="A37" s="6" t="s">
        <v>1029</v>
      </c>
      <c r="B37" s="186" t="s">
        <v>1030</v>
      </c>
      <c r="C37" s="187"/>
      <c r="D37" s="188"/>
      <c r="E37" s="172" t="s">
        <v>1031</v>
      </c>
      <c r="F37" s="173"/>
      <c r="G37" s="173"/>
      <c r="H37" s="173"/>
      <c r="I37" s="173"/>
      <c r="J37" s="22"/>
      <c r="K37" s="17">
        <v>39000</v>
      </c>
      <c r="L37" s="25">
        <f>71836.69</f>
        <v>71836.69</v>
      </c>
      <c r="M37" s="15">
        <f t="shared" si="1"/>
        <v>184.19664102564104</v>
      </c>
    </row>
    <row r="38" spans="1:13" ht="54" customHeight="1">
      <c r="A38" s="6" t="s">
        <v>1032</v>
      </c>
      <c r="B38" s="186" t="s">
        <v>1033</v>
      </c>
      <c r="C38" s="187"/>
      <c r="D38" s="188"/>
      <c r="E38" s="172" t="s">
        <v>1034</v>
      </c>
      <c r="F38" s="173"/>
      <c r="G38" s="173"/>
      <c r="H38" s="173"/>
      <c r="I38" s="173"/>
      <c r="J38" s="22"/>
      <c r="K38" s="17">
        <v>284000</v>
      </c>
      <c r="L38" s="25">
        <v>152440.6</v>
      </c>
      <c r="M38" s="15">
        <f t="shared" si="1"/>
        <v>53.67626760563381</v>
      </c>
    </row>
    <row r="39" spans="1:13" ht="31.5" customHeight="1">
      <c r="A39" s="6" t="s">
        <v>1035</v>
      </c>
      <c r="B39" s="49" t="s">
        <v>1036</v>
      </c>
      <c r="C39" s="50"/>
      <c r="D39" s="51"/>
      <c r="E39" s="52" t="s">
        <v>1037</v>
      </c>
      <c r="F39" s="31"/>
      <c r="G39" s="31"/>
      <c r="H39" s="31"/>
      <c r="I39" s="31"/>
      <c r="J39" s="220"/>
      <c r="K39" s="17">
        <f>K40</f>
        <v>0</v>
      </c>
      <c r="L39" s="26">
        <f>L40</f>
        <v>231936.88</v>
      </c>
      <c r="M39" s="15">
        <v>0</v>
      </c>
    </row>
    <row r="40" spans="1:13" ht="46.5" customHeight="1">
      <c r="A40" s="6" t="s">
        <v>1038</v>
      </c>
      <c r="B40" s="186" t="s">
        <v>1039</v>
      </c>
      <c r="C40" s="187"/>
      <c r="D40" s="188"/>
      <c r="E40" s="172" t="s">
        <v>1040</v>
      </c>
      <c r="F40" s="173"/>
      <c r="G40" s="173"/>
      <c r="H40" s="173"/>
      <c r="I40" s="173"/>
      <c r="J40" s="24"/>
      <c r="K40" s="17">
        <v>0</v>
      </c>
      <c r="L40" s="25">
        <v>231936.88</v>
      </c>
      <c r="M40" s="15">
        <v>0</v>
      </c>
    </row>
    <row r="41" spans="1:13" ht="39.75" customHeight="1">
      <c r="A41" s="6" t="s">
        <v>1041</v>
      </c>
      <c r="B41" s="181" t="s">
        <v>1042</v>
      </c>
      <c r="C41" s="182"/>
      <c r="D41" s="183"/>
      <c r="E41" s="184" t="s">
        <v>1043</v>
      </c>
      <c r="F41" s="185"/>
      <c r="G41" s="185"/>
      <c r="H41" s="185"/>
      <c r="I41" s="185"/>
      <c r="J41" s="185"/>
      <c r="K41" s="9">
        <f>K44+K42</f>
        <v>1923000</v>
      </c>
      <c r="L41" s="9">
        <f>L44+L42</f>
        <v>529257.05</v>
      </c>
      <c r="M41" s="10">
        <f aca="true" t="shared" si="2" ref="M41:M51">L41/K41*100</f>
        <v>27.52246749869995</v>
      </c>
    </row>
    <row r="42" spans="1:13" ht="96.75" customHeight="1">
      <c r="A42" s="6" t="s">
        <v>1044</v>
      </c>
      <c r="B42" s="18" t="s">
        <v>1045</v>
      </c>
      <c r="C42" s="11"/>
      <c r="D42" s="12"/>
      <c r="E42" s="205" t="s">
        <v>1046</v>
      </c>
      <c r="F42" s="206"/>
      <c r="G42" s="206"/>
      <c r="H42" s="206"/>
      <c r="I42" s="206"/>
      <c r="J42" s="206"/>
      <c r="K42" s="9">
        <f>K43</f>
        <v>1158000</v>
      </c>
      <c r="L42" s="9">
        <f>L43</f>
        <v>297032.61</v>
      </c>
      <c r="M42" s="10">
        <f t="shared" si="2"/>
        <v>25.65048445595855</v>
      </c>
    </row>
    <row r="43" spans="1:13" ht="113.25" customHeight="1">
      <c r="A43" s="6" t="s">
        <v>1047</v>
      </c>
      <c r="B43" s="49" t="s">
        <v>1048</v>
      </c>
      <c r="C43" s="50"/>
      <c r="D43" s="51"/>
      <c r="E43" s="52" t="s">
        <v>1049</v>
      </c>
      <c r="F43" s="31"/>
      <c r="G43" s="31"/>
      <c r="H43" s="31"/>
      <c r="I43" s="31"/>
      <c r="J43" s="31"/>
      <c r="K43" s="17">
        <f>1158000</f>
        <v>1158000</v>
      </c>
      <c r="L43" s="15">
        <v>297032.61</v>
      </c>
      <c r="M43" s="15">
        <f t="shared" si="2"/>
        <v>25.65048445595855</v>
      </c>
    </row>
    <row r="44" spans="1:13" ht="70.5" customHeight="1">
      <c r="A44" s="6" t="s">
        <v>1050</v>
      </c>
      <c r="B44" s="181" t="s">
        <v>1051</v>
      </c>
      <c r="C44" s="216"/>
      <c r="D44" s="217"/>
      <c r="E44" s="200" t="s">
        <v>1052</v>
      </c>
      <c r="F44" s="201"/>
      <c r="G44" s="201"/>
      <c r="H44" s="201"/>
      <c r="I44" s="201"/>
      <c r="J44" s="201"/>
      <c r="K44" s="9">
        <f>K45+K46</f>
        <v>765000</v>
      </c>
      <c r="L44" s="9">
        <f>L45+L46</f>
        <v>232224.44</v>
      </c>
      <c r="M44" s="10">
        <f t="shared" si="2"/>
        <v>30.35613594771242</v>
      </c>
    </row>
    <row r="45" spans="1:13" ht="54.75" customHeight="1">
      <c r="A45" s="6" t="s">
        <v>1053</v>
      </c>
      <c r="B45" s="175" t="s">
        <v>1054</v>
      </c>
      <c r="C45" s="209"/>
      <c r="D45" s="210"/>
      <c r="E45" s="218" t="s">
        <v>1055</v>
      </c>
      <c r="F45" s="219"/>
      <c r="G45" s="219"/>
      <c r="H45" s="219"/>
      <c r="I45" s="219"/>
      <c r="J45" s="219"/>
      <c r="K45" s="17">
        <v>603000</v>
      </c>
      <c r="L45" s="15">
        <v>180525.46</v>
      </c>
      <c r="M45" s="15">
        <f t="shared" si="2"/>
        <v>29.937887230514093</v>
      </c>
    </row>
    <row r="46" spans="1:13" ht="65.25" customHeight="1">
      <c r="A46" s="6" t="s">
        <v>1056</v>
      </c>
      <c r="B46" s="49" t="s">
        <v>1057</v>
      </c>
      <c r="C46" s="50"/>
      <c r="D46" s="51"/>
      <c r="E46" s="52" t="s">
        <v>1058</v>
      </c>
      <c r="F46" s="31"/>
      <c r="G46" s="31"/>
      <c r="H46" s="31"/>
      <c r="I46" s="31"/>
      <c r="J46" s="31"/>
      <c r="K46" s="17">
        <v>162000</v>
      </c>
      <c r="L46" s="15">
        <v>51698.98</v>
      </c>
      <c r="M46" s="15">
        <f t="shared" si="2"/>
        <v>31.912950617283954</v>
      </c>
    </row>
    <row r="47" spans="1:13" ht="26.25" customHeight="1">
      <c r="A47" s="6" t="s">
        <v>1059</v>
      </c>
      <c r="B47" s="181" t="s">
        <v>1060</v>
      </c>
      <c r="C47" s="182"/>
      <c r="D47" s="183"/>
      <c r="E47" s="181" t="s">
        <v>1061</v>
      </c>
      <c r="F47" s="182"/>
      <c r="G47" s="182"/>
      <c r="H47" s="182"/>
      <c r="I47" s="182"/>
      <c r="J47" s="182"/>
      <c r="K47" s="9">
        <f>K48+K50+K49</f>
        <v>164000</v>
      </c>
      <c r="L47" s="9">
        <f>L48+L50+L49</f>
        <v>112656.14</v>
      </c>
      <c r="M47" s="10">
        <f t="shared" si="2"/>
        <v>68.69276829268293</v>
      </c>
    </row>
    <row r="48" spans="1:13" ht="37.5" customHeight="1">
      <c r="A48" s="6" t="s">
        <v>1062</v>
      </c>
      <c r="B48" s="189" t="s">
        <v>1063</v>
      </c>
      <c r="C48" s="182"/>
      <c r="D48" s="183"/>
      <c r="E48" s="178" t="s">
        <v>1064</v>
      </c>
      <c r="F48" s="48"/>
      <c r="G48" s="48"/>
      <c r="H48" s="48"/>
      <c r="I48" s="48"/>
      <c r="J48" s="48"/>
      <c r="K48" s="27">
        <v>12000</v>
      </c>
      <c r="L48" s="15">
        <v>42500</v>
      </c>
      <c r="M48" s="15">
        <f t="shared" si="2"/>
        <v>354.16666666666663</v>
      </c>
    </row>
    <row r="49" spans="1:13" ht="71.25" customHeight="1">
      <c r="A49" s="6" t="s">
        <v>1065</v>
      </c>
      <c r="B49" s="186" t="s">
        <v>1066</v>
      </c>
      <c r="C49" s="187"/>
      <c r="D49" s="188"/>
      <c r="E49" s="172" t="s">
        <v>1067</v>
      </c>
      <c r="F49" s="173"/>
      <c r="G49" s="173"/>
      <c r="H49" s="173"/>
      <c r="I49" s="173"/>
      <c r="J49" s="174"/>
      <c r="K49" s="27">
        <v>93000</v>
      </c>
      <c r="L49" s="28">
        <v>51000</v>
      </c>
      <c r="M49" s="15">
        <f t="shared" si="2"/>
        <v>54.83870967741935</v>
      </c>
    </row>
    <row r="50" spans="1:13" ht="57" customHeight="1">
      <c r="A50" s="6" t="s">
        <v>1068</v>
      </c>
      <c r="B50" s="221" t="s">
        <v>1069</v>
      </c>
      <c r="C50" s="221"/>
      <c r="D50" s="221"/>
      <c r="E50" s="222" t="s">
        <v>1070</v>
      </c>
      <c r="F50" s="222"/>
      <c r="G50" s="222"/>
      <c r="H50" s="222"/>
      <c r="I50" s="222"/>
      <c r="J50" s="218"/>
      <c r="K50" s="17">
        <f>K51+K52+K53+K54</f>
        <v>59000</v>
      </c>
      <c r="L50" s="17">
        <f>L51+L52+L53+L54</f>
        <v>19156.14</v>
      </c>
      <c r="M50" s="15">
        <f t="shared" si="2"/>
        <v>32.46803389830508</v>
      </c>
    </row>
    <row r="51" spans="1:13" ht="54.75" customHeight="1">
      <c r="A51" s="6" t="s">
        <v>1071</v>
      </c>
      <c r="B51" s="186" t="s">
        <v>1072</v>
      </c>
      <c r="C51" s="187"/>
      <c r="D51" s="188"/>
      <c r="E51" s="172" t="s">
        <v>1070</v>
      </c>
      <c r="F51" s="173"/>
      <c r="G51" s="173"/>
      <c r="H51" s="173"/>
      <c r="I51" s="173"/>
      <c r="J51" s="13"/>
      <c r="K51" s="17">
        <v>14000</v>
      </c>
      <c r="L51" s="28">
        <v>17170</v>
      </c>
      <c r="M51" s="15">
        <f t="shared" si="2"/>
        <v>122.64285714285714</v>
      </c>
    </row>
    <row r="52" spans="1:13" ht="69" customHeight="1">
      <c r="A52" s="6" t="s">
        <v>1073</v>
      </c>
      <c r="B52" s="186" t="s">
        <v>1074</v>
      </c>
      <c r="C52" s="187"/>
      <c r="D52" s="188"/>
      <c r="E52" s="172" t="s">
        <v>1070</v>
      </c>
      <c r="F52" s="173"/>
      <c r="G52" s="173"/>
      <c r="H52" s="173"/>
      <c r="I52" s="173"/>
      <c r="J52" s="13"/>
      <c r="K52" s="17">
        <v>45000</v>
      </c>
      <c r="L52" s="28">
        <v>0</v>
      </c>
      <c r="M52" s="15">
        <v>0</v>
      </c>
    </row>
    <row r="53" spans="1:13" ht="69" customHeight="1">
      <c r="A53" s="6" t="s">
        <v>1075</v>
      </c>
      <c r="B53" s="186" t="s">
        <v>1076</v>
      </c>
      <c r="C53" s="187"/>
      <c r="D53" s="188"/>
      <c r="E53" s="172" t="s">
        <v>1070</v>
      </c>
      <c r="F53" s="173"/>
      <c r="G53" s="173"/>
      <c r="H53" s="173"/>
      <c r="I53" s="173"/>
      <c r="J53" s="13"/>
      <c r="K53" s="17">
        <v>0</v>
      </c>
      <c r="L53" s="28">
        <v>2486.14</v>
      </c>
      <c r="M53" s="15">
        <v>0</v>
      </c>
    </row>
    <row r="54" spans="1:13" ht="69" customHeight="1">
      <c r="A54" s="6" t="s">
        <v>1077</v>
      </c>
      <c r="B54" s="186" t="s">
        <v>1078</v>
      </c>
      <c r="C54" s="187"/>
      <c r="D54" s="188"/>
      <c r="E54" s="172" t="s">
        <v>1070</v>
      </c>
      <c r="F54" s="173"/>
      <c r="G54" s="173"/>
      <c r="H54" s="173"/>
      <c r="I54" s="173"/>
      <c r="J54" s="13"/>
      <c r="K54" s="17">
        <v>0</v>
      </c>
      <c r="L54" s="28">
        <f>-500</f>
        <v>-500</v>
      </c>
      <c r="M54" s="15">
        <v>0</v>
      </c>
    </row>
    <row r="55" spans="1:13" ht="24.75" customHeight="1">
      <c r="A55" s="6" t="s">
        <v>1079</v>
      </c>
      <c r="B55" s="181" t="s">
        <v>1080</v>
      </c>
      <c r="C55" s="182"/>
      <c r="D55" s="183"/>
      <c r="E55" s="184" t="s">
        <v>1081</v>
      </c>
      <c r="F55" s="252"/>
      <c r="G55" s="252"/>
      <c r="H55" s="252"/>
      <c r="I55" s="252"/>
      <c r="J55" s="253"/>
      <c r="K55" s="9">
        <f>K57+K58</f>
        <v>0</v>
      </c>
      <c r="L55" s="9">
        <f>L57+L58+L56</f>
        <v>215228.85</v>
      </c>
      <c r="M55" s="15">
        <v>0</v>
      </c>
    </row>
    <row r="56" spans="1:13" ht="31.5" customHeight="1">
      <c r="A56" s="6" t="s">
        <v>1082</v>
      </c>
      <c r="B56" s="186" t="s">
        <v>1083</v>
      </c>
      <c r="C56" s="187"/>
      <c r="D56" s="188"/>
      <c r="E56" s="172" t="s">
        <v>1084</v>
      </c>
      <c r="F56" s="173"/>
      <c r="G56" s="173"/>
      <c r="H56" s="173"/>
      <c r="I56" s="173"/>
      <c r="J56" s="29"/>
      <c r="K56" s="9">
        <v>0</v>
      </c>
      <c r="L56" s="28">
        <f>2851.6</f>
        <v>2851.6</v>
      </c>
      <c r="M56" s="15">
        <v>0</v>
      </c>
    </row>
    <row r="57" spans="1:13" ht="31.5" customHeight="1">
      <c r="A57" s="6" t="s">
        <v>1085</v>
      </c>
      <c r="B57" s="189" t="s">
        <v>1086</v>
      </c>
      <c r="C57" s="182"/>
      <c r="D57" s="183"/>
      <c r="E57" s="178" t="s">
        <v>1087</v>
      </c>
      <c r="F57" s="252"/>
      <c r="G57" s="252"/>
      <c r="H57" s="252"/>
      <c r="I57" s="252"/>
      <c r="J57" s="253"/>
      <c r="K57" s="17">
        <v>0</v>
      </c>
      <c r="L57" s="28">
        <v>10219.36</v>
      </c>
      <c r="M57" s="15">
        <v>0</v>
      </c>
    </row>
    <row r="58" spans="1:13" ht="31.5" customHeight="1">
      <c r="A58" s="6" t="s">
        <v>1088</v>
      </c>
      <c r="B58" s="189" t="s">
        <v>1089</v>
      </c>
      <c r="C58" s="182"/>
      <c r="D58" s="183"/>
      <c r="E58" s="172" t="s">
        <v>1087</v>
      </c>
      <c r="F58" s="173"/>
      <c r="G58" s="173"/>
      <c r="H58" s="173"/>
      <c r="I58" s="173"/>
      <c r="J58" s="30"/>
      <c r="K58" s="17">
        <v>0</v>
      </c>
      <c r="L58" s="28">
        <v>202157.89</v>
      </c>
      <c r="M58" s="15">
        <v>0</v>
      </c>
    </row>
    <row r="59" spans="1:13" ht="27.75" customHeight="1">
      <c r="A59" s="6" t="s">
        <v>1090</v>
      </c>
      <c r="B59" s="259" t="s">
        <v>1091</v>
      </c>
      <c r="C59" s="226"/>
      <c r="D59" s="227"/>
      <c r="E59" s="260" t="s">
        <v>1092</v>
      </c>
      <c r="F59" s="261"/>
      <c r="G59" s="261"/>
      <c r="H59" s="261"/>
      <c r="I59" s="261"/>
      <c r="J59" s="262"/>
      <c r="K59" s="9">
        <f>K60+K94+K91+K89</f>
        <v>366370900</v>
      </c>
      <c r="L59" s="9">
        <f>L60+L94+L91+L89</f>
        <v>172091553.52</v>
      </c>
      <c r="M59" s="15">
        <f aca="true" t="shared" si="3" ref="M59:M71">L59/K59*100</f>
        <v>46.97194933331223</v>
      </c>
    </row>
    <row r="60" spans="1:13" ht="45.75" customHeight="1">
      <c r="A60" s="6" t="s">
        <v>1093</v>
      </c>
      <c r="B60" s="181" t="s">
        <v>1094</v>
      </c>
      <c r="C60" s="216"/>
      <c r="D60" s="217"/>
      <c r="E60" s="223" t="s">
        <v>1095</v>
      </c>
      <c r="F60" s="223"/>
      <c r="G60" s="223"/>
      <c r="H60" s="223"/>
      <c r="I60" s="223"/>
      <c r="J60" s="223"/>
      <c r="K60" s="9">
        <f>K61+K65+K73+K86</f>
        <v>316370900</v>
      </c>
      <c r="L60" s="9">
        <f>L61+L65+L73+L86</f>
        <v>135521636.49</v>
      </c>
      <c r="M60" s="10">
        <f t="shared" si="3"/>
        <v>42.83631537856358</v>
      </c>
    </row>
    <row r="61" spans="1:13" ht="39" customHeight="1">
      <c r="A61" s="6" t="s">
        <v>1096</v>
      </c>
      <c r="B61" s="181" t="s">
        <v>1097</v>
      </c>
      <c r="C61" s="216"/>
      <c r="D61" s="217"/>
      <c r="E61" s="223" t="s">
        <v>1098</v>
      </c>
      <c r="F61" s="223"/>
      <c r="G61" s="223"/>
      <c r="H61" s="223"/>
      <c r="I61" s="223"/>
      <c r="J61" s="223"/>
      <c r="K61" s="9">
        <f>K62</f>
        <v>3001000</v>
      </c>
      <c r="L61" s="9">
        <f>L62</f>
        <v>1500000</v>
      </c>
      <c r="M61" s="10">
        <f t="shared" si="3"/>
        <v>49.983338887037654</v>
      </c>
    </row>
    <row r="62" spans="1:13" ht="36" customHeight="1">
      <c r="A62" s="6" t="s">
        <v>1099</v>
      </c>
      <c r="B62" s="175" t="s">
        <v>1100</v>
      </c>
      <c r="C62" s="209"/>
      <c r="D62" s="210"/>
      <c r="E62" s="222" t="s">
        <v>1101</v>
      </c>
      <c r="F62" s="222"/>
      <c r="G62" s="222"/>
      <c r="H62" s="222"/>
      <c r="I62" s="222"/>
      <c r="J62" s="222"/>
      <c r="K62" s="17">
        <f>K63+K64</f>
        <v>3001000</v>
      </c>
      <c r="L62" s="17">
        <f>L63+L64</f>
        <v>1500000</v>
      </c>
      <c r="M62" s="15">
        <f t="shared" si="3"/>
        <v>49.983338887037654</v>
      </c>
    </row>
    <row r="63" spans="1:13" ht="58.5" customHeight="1">
      <c r="A63" s="6" t="s">
        <v>1102</v>
      </c>
      <c r="B63" s="175"/>
      <c r="C63" s="176"/>
      <c r="D63" s="177"/>
      <c r="E63" s="178" t="s">
        <v>1103</v>
      </c>
      <c r="F63" s="179"/>
      <c r="G63" s="179"/>
      <c r="H63" s="179"/>
      <c r="I63" s="179"/>
      <c r="J63" s="180"/>
      <c r="K63" s="17">
        <v>1697000</v>
      </c>
      <c r="L63" s="38">
        <v>846000</v>
      </c>
      <c r="M63" s="15">
        <f t="shared" si="3"/>
        <v>49.85268120212139</v>
      </c>
    </row>
    <row r="64" spans="1:13" ht="81" customHeight="1">
      <c r="A64" s="6" t="s">
        <v>1104</v>
      </c>
      <c r="B64" s="175"/>
      <c r="C64" s="176"/>
      <c r="D64" s="177"/>
      <c r="E64" s="178" t="s">
        <v>1105</v>
      </c>
      <c r="F64" s="179"/>
      <c r="G64" s="179"/>
      <c r="H64" s="179"/>
      <c r="I64" s="179"/>
      <c r="J64" s="180"/>
      <c r="K64" s="17">
        <v>1304000</v>
      </c>
      <c r="L64" s="15">
        <v>654000</v>
      </c>
      <c r="M64" s="15">
        <f t="shared" si="3"/>
        <v>50.15337423312884</v>
      </c>
    </row>
    <row r="65" spans="1:13" ht="52.5" customHeight="1">
      <c r="A65" s="6" t="s">
        <v>1106</v>
      </c>
      <c r="B65" s="181" t="s">
        <v>1107</v>
      </c>
      <c r="C65" s="182"/>
      <c r="D65" s="183"/>
      <c r="E65" s="184" t="s">
        <v>1108</v>
      </c>
      <c r="F65" s="185"/>
      <c r="G65" s="185"/>
      <c r="H65" s="185"/>
      <c r="I65" s="185"/>
      <c r="J65" s="185"/>
      <c r="K65" s="9">
        <f>K67+K66</f>
        <v>163080200</v>
      </c>
      <c r="L65" s="9">
        <f>L67+L66</f>
        <v>48389600</v>
      </c>
      <c r="M65" s="10">
        <f t="shared" si="3"/>
        <v>29.67227167982379</v>
      </c>
    </row>
    <row r="66" spans="1:13" ht="48.75" customHeight="1">
      <c r="A66" s="6" t="s">
        <v>1109</v>
      </c>
      <c r="B66" s="186" t="s">
        <v>1110</v>
      </c>
      <c r="C66" s="187"/>
      <c r="D66" s="188"/>
      <c r="E66" s="172" t="s">
        <v>1111</v>
      </c>
      <c r="F66" s="173"/>
      <c r="G66" s="173"/>
      <c r="H66" s="173"/>
      <c r="I66" s="173"/>
      <c r="J66" s="8"/>
      <c r="K66" s="17">
        <v>70000000</v>
      </c>
      <c r="L66" s="9">
        <v>0</v>
      </c>
      <c r="M66" s="10">
        <f t="shared" si="3"/>
        <v>0</v>
      </c>
    </row>
    <row r="67" spans="1:13" ht="30" customHeight="1">
      <c r="A67" s="6" t="s">
        <v>1112</v>
      </c>
      <c r="B67" s="178" t="s">
        <v>1113</v>
      </c>
      <c r="C67" s="48"/>
      <c r="D67" s="224"/>
      <c r="E67" s="178" t="s">
        <v>1114</v>
      </c>
      <c r="F67" s="48"/>
      <c r="G67" s="48"/>
      <c r="H67" s="48"/>
      <c r="I67" s="48"/>
      <c r="J67" s="48"/>
      <c r="K67" s="17">
        <f>K68+K69+K70+K71+K72</f>
        <v>93080200</v>
      </c>
      <c r="L67" s="17">
        <f>L68+L69+L70+L71+L72</f>
        <v>48389600</v>
      </c>
      <c r="M67" s="15">
        <f t="shared" si="3"/>
        <v>51.98699616030047</v>
      </c>
    </row>
    <row r="68" spans="1:13" ht="60.75" customHeight="1">
      <c r="A68" s="6" t="s">
        <v>1115</v>
      </c>
      <c r="B68" s="189" t="s">
        <v>1116</v>
      </c>
      <c r="C68" s="182"/>
      <c r="D68" s="183"/>
      <c r="E68" s="178" t="s">
        <v>1117</v>
      </c>
      <c r="F68" s="48"/>
      <c r="G68" s="48"/>
      <c r="H68" s="48"/>
      <c r="I68" s="48"/>
      <c r="J68" s="48"/>
      <c r="K68" s="17">
        <v>81286000</v>
      </c>
      <c r="L68" s="15">
        <v>40644000</v>
      </c>
      <c r="M68" s="15">
        <f t="shared" si="3"/>
        <v>50.001230224146845</v>
      </c>
    </row>
    <row r="69" spans="1:13" ht="40.5" customHeight="1">
      <c r="A69" s="6" t="s">
        <v>1118</v>
      </c>
      <c r="B69" s="189" t="s">
        <v>1119</v>
      </c>
      <c r="C69" s="182"/>
      <c r="D69" s="183"/>
      <c r="E69" s="178" t="s">
        <v>1120</v>
      </c>
      <c r="F69" s="48"/>
      <c r="G69" s="48"/>
      <c r="H69" s="48"/>
      <c r="I69" s="48"/>
      <c r="J69" s="48"/>
      <c r="K69" s="17">
        <v>8289000</v>
      </c>
      <c r="L69" s="15">
        <v>4605000</v>
      </c>
      <c r="M69" s="15">
        <f t="shared" si="3"/>
        <v>55.55555555555556</v>
      </c>
    </row>
    <row r="70" spans="1:13" ht="33" customHeight="1">
      <c r="A70" s="6" t="s">
        <v>1121</v>
      </c>
      <c r="B70" s="189" t="s">
        <v>1119</v>
      </c>
      <c r="C70" s="182"/>
      <c r="D70" s="183"/>
      <c r="E70" s="178" t="s">
        <v>1122</v>
      </c>
      <c r="F70" s="179"/>
      <c r="G70" s="179"/>
      <c r="H70" s="179"/>
      <c r="I70" s="179"/>
      <c r="J70" s="180"/>
      <c r="K70" s="17">
        <v>3140600</v>
      </c>
      <c r="L70" s="15">
        <v>3140600</v>
      </c>
      <c r="M70" s="15">
        <f t="shared" si="3"/>
        <v>100</v>
      </c>
    </row>
    <row r="71" spans="1:13" ht="69" customHeight="1">
      <c r="A71" s="6" t="s">
        <v>1123</v>
      </c>
      <c r="B71" s="189" t="s">
        <v>1119</v>
      </c>
      <c r="C71" s="182"/>
      <c r="D71" s="183"/>
      <c r="E71" s="172" t="s">
        <v>1124</v>
      </c>
      <c r="F71" s="173"/>
      <c r="G71" s="173"/>
      <c r="H71" s="173"/>
      <c r="I71" s="173"/>
      <c r="J71" s="37"/>
      <c r="K71" s="17">
        <v>337000</v>
      </c>
      <c r="L71" s="15">
        <v>0</v>
      </c>
      <c r="M71" s="15">
        <f t="shared" si="3"/>
        <v>0</v>
      </c>
    </row>
    <row r="72" spans="1:13" ht="50.25" customHeight="1">
      <c r="A72" s="6" t="s">
        <v>1125</v>
      </c>
      <c r="B72" s="186" t="s">
        <v>1116</v>
      </c>
      <c r="C72" s="187"/>
      <c r="D72" s="188"/>
      <c r="E72" s="172" t="s">
        <v>1126</v>
      </c>
      <c r="F72" s="173"/>
      <c r="G72" s="173"/>
      <c r="H72" s="173"/>
      <c r="I72" s="173"/>
      <c r="J72" s="37"/>
      <c r="K72" s="17">
        <v>27600</v>
      </c>
      <c r="L72" s="15">
        <v>0</v>
      </c>
      <c r="M72" s="15">
        <v>0</v>
      </c>
    </row>
    <row r="73" spans="1:13" ht="29.25" customHeight="1">
      <c r="A73" s="6" t="s">
        <v>1127</v>
      </c>
      <c r="B73" s="181" t="s">
        <v>1128</v>
      </c>
      <c r="C73" s="216"/>
      <c r="D73" s="217"/>
      <c r="E73" s="184" t="s">
        <v>1129</v>
      </c>
      <c r="F73" s="185"/>
      <c r="G73" s="185"/>
      <c r="H73" s="185"/>
      <c r="I73" s="185"/>
      <c r="J73" s="185"/>
      <c r="K73" s="39">
        <f>K74+K75+K76+K77+K83</f>
        <v>149483700</v>
      </c>
      <c r="L73" s="39">
        <f>L74+L75+L76+L77+L83</f>
        <v>85229036.49000001</v>
      </c>
      <c r="M73" s="10">
        <f aca="true" t="shared" si="4" ref="M73:M90">L73/K73*100</f>
        <v>57.01560537369627</v>
      </c>
    </row>
    <row r="74" spans="1:13" ht="60.75" customHeight="1">
      <c r="A74" s="6" t="s">
        <v>1130</v>
      </c>
      <c r="B74" s="178" t="s">
        <v>1131</v>
      </c>
      <c r="C74" s="48"/>
      <c r="D74" s="224"/>
      <c r="E74" s="178" t="s">
        <v>1132</v>
      </c>
      <c r="F74" s="48"/>
      <c r="G74" s="48"/>
      <c r="H74" s="48"/>
      <c r="I74" s="48"/>
      <c r="J74" s="48"/>
      <c r="K74" s="17">
        <v>7467000</v>
      </c>
      <c r="L74" s="15">
        <f>4799931.4</f>
        <v>4799931.4</v>
      </c>
      <c r="M74" s="15">
        <f t="shared" si="4"/>
        <v>64.28192580688362</v>
      </c>
    </row>
    <row r="75" spans="1:13" ht="90.75" customHeight="1">
      <c r="A75" s="6" t="s">
        <v>1133</v>
      </c>
      <c r="B75" s="189" t="s">
        <v>1134</v>
      </c>
      <c r="C75" s="182"/>
      <c r="D75" s="183"/>
      <c r="E75" s="178" t="s">
        <v>1135</v>
      </c>
      <c r="F75" s="48"/>
      <c r="G75" s="48"/>
      <c r="H75" s="48"/>
      <c r="I75" s="48"/>
      <c r="J75" s="48"/>
      <c r="K75" s="17">
        <v>869700</v>
      </c>
      <c r="L75" s="15">
        <v>782700</v>
      </c>
      <c r="M75" s="15">
        <f t="shared" si="4"/>
        <v>89.99655053466714</v>
      </c>
    </row>
    <row r="76" spans="1:13" ht="59.25" customHeight="1">
      <c r="A76" s="6" t="s">
        <v>1136</v>
      </c>
      <c r="B76" s="189" t="s">
        <v>1137</v>
      </c>
      <c r="C76" s="182"/>
      <c r="D76" s="183"/>
      <c r="E76" s="178" t="s">
        <v>1138</v>
      </c>
      <c r="F76" s="48"/>
      <c r="G76" s="48"/>
      <c r="H76" s="48"/>
      <c r="I76" s="48"/>
      <c r="J76" s="48"/>
      <c r="K76" s="17">
        <v>1862000</v>
      </c>
      <c r="L76" s="15">
        <v>633991.36</v>
      </c>
      <c r="M76" s="15">
        <f t="shared" si="4"/>
        <v>34.04894522019334</v>
      </c>
    </row>
    <row r="77" spans="1:13" ht="53.25" customHeight="1">
      <c r="A77" s="6" t="s">
        <v>1139</v>
      </c>
      <c r="B77" s="178" t="s">
        <v>1140</v>
      </c>
      <c r="C77" s="48"/>
      <c r="D77" s="224"/>
      <c r="E77" s="178" t="s">
        <v>1141</v>
      </c>
      <c r="F77" s="48"/>
      <c r="G77" s="48"/>
      <c r="H77" s="48"/>
      <c r="I77" s="48"/>
      <c r="J77" s="48"/>
      <c r="K77" s="17">
        <f>K78+K79+K80+K81+K82</f>
        <v>17804000</v>
      </c>
      <c r="L77" s="17">
        <f>L78+L79+L80+L81+L82</f>
        <v>10256413.73</v>
      </c>
      <c r="M77" s="15">
        <f t="shared" si="4"/>
        <v>57.607356380588634</v>
      </c>
    </row>
    <row r="78" spans="1:13" ht="78.75" customHeight="1">
      <c r="A78" s="6" t="s">
        <v>1142</v>
      </c>
      <c r="B78" s="189" t="s">
        <v>1143</v>
      </c>
      <c r="C78" s="182"/>
      <c r="D78" s="183"/>
      <c r="E78" s="178" t="s">
        <v>1144</v>
      </c>
      <c r="F78" s="48"/>
      <c r="G78" s="48"/>
      <c r="H78" s="48"/>
      <c r="I78" s="48"/>
      <c r="J78" s="48"/>
      <c r="K78" s="17">
        <v>236000</v>
      </c>
      <c r="L78" s="15">
        <v>118000</v>
      </c>
      <c r="M78" s="15">
        <f t="shared" si="4"/>
        <v>50</v>
      </c>
    </row>
    <row r="79" spans="1:13" ht="75.75" customHeight="1">
      <c r="A79" s="6" t="s">
        <v>1145</v>
      </c>
      <c r="B79" s="189" t="s">
        <v>1143</v>
      </c>
      <c r="C79" s="182"/>
      <c r="D79" s="183"/>
      <c r="E79" s="178" t="s">
        <v>1195</v>
      </c>
      <c r="F79" s="48"/>
      <c r="G79" s="48"/>
      <c r="H79" s="48"/>
      <c r="I79" s="48"/>
      <c r="J79" s="48"/>
      <c r="K79" s="17">
        <v>17455000</v>
      </c>
      <c r="L79" s="15">
        <f>10046413.73</f>
        <v>10046413.73</v>
      </c>
      <c r="M79" s="15">
        <f t="shared" si="4"/>
        <v>57.556079805213415</v>
      </c>
    </row>
    <row r="80" spans="1:13" ht="30" customHeight="1">
      <c r="A80" s="6" t="s">
        <v>1146</v>
      </c>
      <c r="B80" s="189" t="s">
        <v>1143</v>
      </c>
      <c r="C80" s="182"/>
      <c r="D80" s="183"/>
      <c r="E80" s="228" t="s">
        <v>1147</v>
      </c>
      <c r="F80" s="179"/>
      <c r="G80" s="179"/>
      <c r="H80" s="179"/>
      <c r="I80" s="179"/>
      <c r="J80" s="180"/>
      <c r="K80" s="17">
        <v>100</v>
      </c>
      <c r="L80" s="15">
        <v>100</v>
      </c>
      <c r="M80" s="15">
        <f t="shared" si="4"/>
        <v>100</v>
      </c>
    </row>
    <row r="81" spans="1:13" ht="45" customHeight="1">
      <c r="A81" s="6" t="s">
        <v>1148</v>
      </c>
      <c r="B81" s="189" t="s">
        <v>1143</v>
      </c>
      <c r="C81" s="182"/>
      <c r="D81" s="183"/>
      <c r="E81" s="228" t="s">
        <v>1149</v>
      </c>
      <c r="F81" s="179"/>
      <c r="G81" s="179"/>
      <c r="H81" s="179"/>
      <c r="I81" s="179"/>
      <c r="J81" s="180"/>
      <c r="K81" s="17">
        <v>91900</v>
      </c>
      <c r="L81" s="15">
        <v>91900</v>
      </c>
      <c r="M81" s="15">
        <f t="shared" si="4"/>
        <v>100</v>
      </c>
    </row>
    <row r="82" spans="1:13" ht="77.25" customHeight="1">
      <c r="A82" s="6" t="s">
        <v>1150</v>
      </c>
      <c r="B82" s="189" t="s">
        <v>1143</v>
      </c>
      <c r="C82" s="182"/>
      <c r="D82" s="183"/>
      <c r="E82" s="178" t="s">
        <v>1151</v>
      </c>
      <c r="F82" s="48"/>
      <c r="G82" s="48"/>
      <c r="H82" s="48"/>
      <c r="I82" s="48"/>
      <c r="J82" s="48"/>
      <c r="K82" s="17">
        <v>21000</v>
      </c>
      <c r="L82" s="15">
        <v>0</v>
      </c>
      <c r="M82" s="15">
        <f t="shared" si="4"/>
        <v>0</v>
      </c>
    </row>
    <row r="83" spans="1:13" ht="25.5" customHeight="1">
      <c r="A83" s="6" t="s">
        <v>1152</v>
      </c>
      <c r="B83" s="225" t="s">
        <v>1153</v>
      </c>
      <c r="C83" s="226"/>
      <c r="D83" s="227"/>
      <c r="E83" s="178" t="s">
        <v>1154</v>
      </c>
      <c r="F83" s="48"/>
      <c r="G83" s="48"/>
      <c r="H83" s="48"/>
      <c r="I83" s="48"/>
      <c r="J83" s="224"/>
      <c r="K83" s="17">
        <f>K84+K85</f>
        <v>121481000</v>
      </c>
      <c r="L83" s="17">
        <f>L84+L85</f>
        <v>68756000</v>
      </c>
      <c r="M83" s="15">
        <f t="shared" si="4"/>
        <v>56.59815115120883</v>
      </c>
    </row>
    <row r="84" spans="1:13" ht="138.75" customHeight="1">
      <c r="A84" s="6" t="s">
        <v>1155</v>
      </c>
      <c r="B84" s="189" t="s">
        <v>1156</v>
      </c>
      <c r="C84" s="182"/>
      <c r="D84" s="183"/>
      <c r="E84" s="178" t="s">
        <v>1157</v>
      </c>
      <c r="F84" s="48"/>
      <c r="G84" s="48"/>
      <c r="H84" s="48"/>
      <c r="I84" s="48"/>
      <c r="J84" s="48"/>
      <c r="K84" s="17">
        <v>74802000</v>
      </c>
      <c r="L84" s="15">
        <v>42460000</v>
      </c>
      <c r="M84" s="15">
        <f t="shared" si="4"/>
        <v>56.76318815004946</v>
      </c>
    </row>
    <row r="85" spans="1:13" ht="64.5" customHeight="1">
      <c r="A85" s="6" t="s">
        <v>1158</v>
      </c>
      <c r="B85" s="178" t="s">
        <v>1156</v>
      </c>
      <c r="C85" s="48"/>
      <c r="D85" s="224"/>
      <c r="E85" s="229" t="s">
        <v>1159</v>
      </c>
      <c r="F85" s="230"/>
      <c r="G85" s="230"/>
      <c r="H85" s="230"/>
      <c r="I85" s="230"/>
      <c r="J85" s="231"/>
      <c r="K85" s="41">
        <v>46679000</v>
      </c>
      <c r="L85" s="15">
        <v>26296000</v>
      </c>
      <c r="M85" s="15">
        <f t="shared" si="4"/>
        <v>56.333683240857766</v>
      </c>
    </row>
    <row r="86" spans="1:13" ht="22.5" customHeight="1">
      <c r="A86" s="6" t="s">
        <v>1160</v>
      </c>
      <c r="B86" s="232" t="s">
        <v>1161</v>
      </c>
      <c r="C86" s="233"/>
      <c r="D86" s="234"/>
      <c r="E86" s="232" t="s">
        <v>1162</v>
      </c>
      <c r="F86" s="233"/>
      <c r="G86" s="233"/>
      <c r="H86" s="233"/>
      <c r="I86" s="233"/>
      <c r="J86" s="40"/>
      <c r="K86" s="21">
        <f>K87</f>
        <v>806000</v>
      </c>
      <c r="L86" s="43">
        <f>L87</f>
        <v>403000</v>
      </c>
      <c r="M86" s="10">
        <f t="shared" si="4"/>
        <v>50</v>
      </c>
    </row>
    <row r="87" spans="1:13" ht="47.25" customHeight="1">
      <c r="A87" s="6" t="s">
        <v>1163</v>
      </c>
      <c r="B87" s="172" t="s">
        <v>1164</v>
      </c>
      <c r="C87" s="173"/>
      <c r="D87" s="174"/>
      <c r="E87" s="172" t="s">
        <v>1165</v>
      </c>
      <c r="F87" s="173"/>
      <c r="G87" s="173"/>
      <c r="H87" s="173"/>
      <c r="I87" s="173"/>
      <c r="J87" s="40"/>
      <c r="K87" s="41">
        <f>K88</f>
        <v>806000</v>
      </c>
      <c r="L87" s="38">
        <f>L88</f>
        <v>403000</v>
      </c>
      <c r="M87" s="15">
        <f t="shared" si="4"/>
        <v>50</v>
      </c>
    </row>
    <row r="88" spans="1:13" ht="126.75" customHeight="1">
      <c r="A88" s="6" t="s">
        <v>1166</v>
      </c>
      <c r="B88" s="172" t="s">
        <v>1167</v>
      </c>
      <c r="C88" s="173"/>
      <c r="D88" s="174"/>
      <c r="E88" s="172" t="s">
        <v>1168</v>
      </c>
      <c r="F88" s="173"/>
      <c r="G88" s="173"/>
      <c r="H88" s="173"/>
      <c r="I88" s="173"/>
      <c r="J88" s="40"/>
      <c r="K88" s="41">
        <v>806000</v>
      </c>
      <c r="L88" s="38">
        <v>403000</v>
      </c>
      <c r="M88" s="15">
        <f t="shared" si="4"/>
        <v>50</v>
      </c>
    </row>
    <row r="89" spans="1:13" ht="19.5" customHeight="1">
      <c r="A89" s="6" t="s">
        <v>1169</v>
      </c>
      <c r="B89" s="172" t="s">
        <v>1170</v>
      </c>
      <c r="C89" s="173"/>
      <c r="D89" s="174"/>
      <c r="E89" s="232" t="s">
        <v>1171</v>
      </c>
      <c r="F89" s="233"/>
      <c r="G89" s="233"/>
      <c r="H89" s="233"/>
      <c r="I89" s="233"/>
      <c r="J89" s="234"/>
      <c r="K89" s="21">
        <f>K90</f>
        <v>50000000</v>
      </c>
      <c r="L89" s="21">
        <f>L90</f>
        <v>50000000</v>
      </c>
      <c r="M89" s="10">
        <f t="shared" si="4"/>
        <v>100</v>
      </c>
    </row>
    <row r="90" spans="1:13" ht="28.5" customHeight="1">
      <c r="A90" s="6" t="s">
        <v>1172</v>
      </c>
      <c r="B90" s="172" t="s">
        <v>1173</v>
      </c>
      <c r="C90" s="173"/>
      <c r="D90" s="174"/>
      <c r="E90" s="172" t="s">
        <v>1174</v>
      </c>
      <c r="F90" s="173"/>
      <c r="G90" s="173"/>
      <c r="H90" s="173"/>
      <c r="I90" s="173"/>
      <c r="J90" s="174"/>
      <c r="K90" s="17">
        <v>50000000</v>
      </c>
      <c r="L90" s="15">
        <v>50000000</v>
      </c>
      <c r="M90" s="15">
        <f t="shared" si="4"/>
        <v>100</v>
      </c>
    </row>
    <row r="91" spans="1:13" s="44" customFormat="1" ht="90" customHeight="1">
      <c r="A91" s="6" t="s">
        <v>1175</v>
      </c>
      <c r="B91" s="232" t="s">
        <v>1176</v>
      </c>
      <c r="C91" s="233"/>
      <c r="D91" s="234"/>
      <c r="E91" s="232" t="s">
        <v>1177</v>
      </c>
      <c r="F91" s="233"/>
      <c r="G91" s="233"/>
      <c r="H91" s="233"/>
      <c r="I91" s="233"/>
      <c r="J91" s="42"/>
      <c r="K91" s="9">
        <f>K92+K93</f>
        <v>0</v>
      </c>
      <c r="L91" s="9">
        <f>L92+L93</f>
        <v>164016.9</v>
      </c>
      <c r="M91" s="15">
        <v>0</v>
      </c>
    </row>
    <row r="92" spans="1:13" ht="42" customHeight="1">
      <c r="A92" s="6" t="s">
        <v>1178</v>
      </c>
      <c r="B92" s="172" t="s">
        <v>1179</v>
      </c>
      <c r="C92" s="173"/>
      <c r="D92" s="174"/>
      <c r="E92" s="172" t="s">
        <v>1180</v>
      </c>
      <c r="F92" s="173"/>
      <c r="G92" s="173"/>
      <c r="H92" s="173"/>
      <c r="I92" s="173"/>
      <c r="J92" s="16"/>
      <c r="K92" s="17">
        <v>0</v>
      </c>
      <c r="L92" s="45">
        <v>163916.9</v>
      </c>
      <c r="M92" s="15">
        <v>0</v>
      </c>
    </row>
    <row r="93" spans="1:13" ht="42" customHeight="1">
      <c r="A93" s="6" t="s">
        <v>1181</v>
      </c>
      <c r="B93" s="172" t="s">
        <v>1182</v>
      </c>
      <c r="C93" s="173"/>
      <c r="D93" s="174"/>
      <c r="E93" s="172" t="s">
        <v>1180</v>
      </c>
      <c r="F93" s="173"/>
      <c r="G93" s="173"/>
      <c r="H93" s="173"/>
      <c r="I93" s="173"/>
      <c r="J93" s="16"/>
      <c r="K93" s="17">
        <v>0</v>
      </c>
      <c r="L93" s="45">
        <v>100</v>
      </c>
      <c r="M93" s="15">
        <v>0</v>
      </c>
    </row>
    <row r="94" spans="1:13" ht="38.25" customHeight="1">
      <c r="A94" s="6" t="s">
        <v>1183</v>
      </c>
      <c r="B94" s="184" t="s">
        <v>1184</v>
      </c>
      <c r="C94" s="185"/>
      <c r="D94" s="256"/>
      <c r="E94" s="184" t="s">
        <v>1185</v>
      </c>
      <c r="F94" s="185"/>
      <c r="G94" s="185"/>
      <c r="H94" s="185"/>
      <c r="I94" s="185"/>
      <c r="J94" s="256"/>
      <c r="K94" s="10">
        <f>K95+K96</f>
        <v>0</v>
      </c>
      <c r="L94" s="10">
        <f>L95+L96</f>
        <v>-13594099.870000001</v>
      </c>
      <c r="M94" s="15">
        <v>0</v>
      </c>
    </row>
    <row r="95" spans="1:13" ht="57" customHeight="1">
      <c r="A95" s="6" t="s">
        <v>1186</v>
      </c>
      <c r="B95" s="172" t="s">
        <v>1187</v>
      </c>
      <c r="C95" s="173"/>
      <c r="D95" s="174"/>
      <c r="E95" s="172" t="s">
        <v>1188</v>
      </c>
      <c r="F95" s="173"/>
      <c r="G95" s="173"/>
      <c r="H95" s="173"/>
      <c r="I95" s="173"/>
      <c r="J95" s="46"/>
      <c r="K95" s="43">
        <v>0</v>
      </c>
      <c r="L95" s="47">
        <f>-255603.55</f>
        <v>-255603.55</v>
      </c>
      <c r="M95" s="15">
        <v>0</v>
      </c>
    </row>
    <row r="96" spans="1:13" ht="55.5" customHeight="1">
      <c r="A96" s="6" t="s">
        <v>1189</v>
      </c>
      <c r="B96" s="172" t="s">
        <v>1190</v>
      </c>
      <c r="C96" s="173"/>
      <c r="D96" s="174"/>
      <c r="E96" s="172" t="s">
        <v>1188</v>
      </c>
      <c r="F96" s="173"/>
      <c r="G96" s="173"/>
      <c r="H96" s="173"/>
      <c r="I96" s="173"/>
      <c r="J96" s="46"/>
      <c r="K96" s="43">
        <v>0</v>
      </c>
      <c r="L96" s="47">
        <f>-13338496.32</f>
        <v>-13338496.32</v>
      </c>
      <c r="M96" s="15">
        <v>0</v>
      </c>
    </row>
    <row r="97" spans="1:13" ht="13.5" thickBot="1">
      <c r="A97" s="6" t="s">
        <v>1191</v>
      </c>
      <c r="B97" s="237"/>
      <c r="C97" s="238"/>
      <c r="D97" s="239"/>
      <c r="E97" s="240" t="s">
        <v>1192</v>
      </c>
      <c r="F97" s="238"/>
      <c r="G97" s="238"/>
      <c r="H97" s="238"/>
      <c r="I97" s="238"/>
      <c r="J97" s="239"/>
      <c r="K97" s="53">
        <f>K59+K6</f>
        <v>531691900</v>
      </c>
      <c r="L97" s="53">
        <f>L59+L6</f>
        <v>236124378.01000002</v>
      </c>
      <c r="M97" s="54">
        <f>L97/K97*100</f>
        <v>44.41000098177159</v>
      </c>
    </row>
    <row r="98" spans="1:14" ht="13.5">
      <c r="A98" s="55"/>
      <c r="B98" s="241"/>
      <c r="C98" s="241"/>
      <c r="D98" s="241"/>
      <c r="E98" s="242"/>
      <c r="F98" s="242"/>
      <c r="G98" s="242"/>
      <c r="H98" s="242"/>
      <c r="I98" s="242"/>
      <c r="J98" s="242"/>
      <c r="K98" s="56"/>
      <c r="L98" s="56"/>
      <c r="M98" s="56"/>
      <c r="N98" s="57"/>
    </row>
    <row r="99" spans="1:14" ht="12.75">
      <c r="A99" s="55"/>
      <c r="B99" s="236"/>
      <c r="C99" s="236"/>
      <c r="D99" s="236"/>
      <c r="E99" s="236"/>
      <c r="F99" s="236"/>
      <c r="G99" s="236"/>
      <c r="H99" s="236"/>
      <c r="I99" s="236"/>
      <c r="J99" s="236"/>
      <c r="K99" s="58"/>
      <c r="L99" s="58"/>
      <c r="M99" s="58"/>
      <c r="N99" s="57"/>
    </row>
    <row r="100" spans="1:14" ht="12.75">
      <c r="A100" s="55"/>
      <c r="B100" s="235"/>
      <c r="C100" s="235"/>
      <c r="D100" s="235"/>
      <c r="E100" s="236"/>
      <c r="F100" s="236"/>
      <c r="G100" s="236"/>
      <c r="H100" s="236"/>
      <c r="I100" s="236"/>
      <c r="J100" s="236"/>
      <c r="K100" s="58"/>
      <c r="L100" s="58"/>
      <c r="M100" s="58"/>
      <c r="N100" s="57"/>
    </row>
    <row r="101" spans="1:14" ht="12.75">
      <c r="A101" s="55"/>
      <c r="B101" s="245"/>
      <c r="C101" s="245"/>
      <c r="D101" s="245"/>
      <c r="E101" s="246"/>
      <c r="F101" s="246"/>
      <c r="G101" s="246"/>
      <c r="H101" s="246"/>
      <c r="I101" s="246"/>
      <c r="J101" s="246"/>
      <c r="K101" s="58"/>
      <c r="L101" s="58"/>
      <c r="M101" s="58"/>
      <c r="N101" s="57"/>
    </row>
    <row r="102" spans="1:14" ht="12.75">
      <c r="A102" s="55"/>
      <c r="B102" s="235"/>
      <c r="C102" s="235"/>
      <c r="D102" s="235"/>
      <c r="E102" s="236"/>
      <c r="F102" s="236"/>
      <c r="G102" s="236"/>
      <c r="H102" s="236"/>
      <c r="I102" s="236"/>
      <c r="J102" s="236"/>
      <c r="K102" s="58"/>
      <c r="L102" s="58"/>
      <c r="M102" s="58"/>
      <c r="N102" s="57"/>
    </row>
    <row r="103" spans="1:14" ht="12.75">
      <c r="A103" s="55"/>
      <c r="B103" s="236"/>
      <c r="C103" s="236"/>
      <c r="D103" s="236"/>
      <c r="E103" s="236"/>
      <c r="F103" s="236"/>
      <c r="G103" s="236"/>
      <c r="H103" s="236"/>
      <c r="I103" s="236"/>
      <c r="J103" s="236"/>
      <c r="K103" s="58"/>
      <c r="L103" s="58"/>
      <c r="M103" s="58"/>
      <c r="N103" s="57"/>
    </row>
    <row r="104" spans="1:14" ht="12.75">
      <c r="A104" s="55"/>
      <c r="B104" s="235"/>
      <c r="C104" s="235"/>
      <c r="D104" s="235"/>
      <c r="E104" s="236"/>
      <c r="F104" s="236"/>
      <c r="G104" s="236"/>
      <c r="H104" s="236"/>
      <c r="I104" s="236"/>
      <c r="J104" s="236"/>
      <c r="K104" s="58"/>
      <c r="L104" s="58"/>
      <c r="M104" s="58"/>
      <c r="N104" s="57"/>
    </row>
    <row r="105" spans="1:14" ht="12.75">
      <c r="A105" s="55"/>
      <c r="B105" s="236"/>
      <c r="C105" s="236"/>
      <c r="D105" s="236"/>
      <c r="E105" s="236"/>
      <c r="F105" s="236"/>
      <c r="G105" s="236"/>
      <c r="H105" s="236"/>
      <c r="I105" s="236"/>
      <c r="J105" s="236"/>
      <c r="K105" s="58"/>
      <c r="L105" s="58"/>
      <c r="M105" s="58"/>
      <c r="N105" s="57"/>
    </row>
    <row r="106" spans="1:14" ht="12.75">
      <c r="A106" s="55"/>
      <c r="B106" s="236"/>
      <c r="C106" s="236"/>
      <c r="D106" s="236"/>
      <c r="E106" s="243"/>
      <c r="F106" s="244"/>
      <c r="G106" s="244"/>
      <c r="H106" s="244"/>
      <c r="I106" s="244"/>
      <c r="J106" s="244"/>
      <c r="K106" s="58"/>
      <c r="L106" s="58"/>
      <c r="M106" s="58"/>
      <c r="N106" s="57"/>
    </row>
    <row r="107" spans="1:14" ht="12.75">
      <c r="A107" s="55"/>
      <c r="B107" s="236"/>
      <c r="C107" s="236"/>
      <c r="D107" s="236"/>
      <c r="E107" s="243"/>
      <c r="F107" s="244"/>
      <c r="G107" s="244"/>
      <c r="H107" s="244"/>
      <c r="I107" s="244"/>
      <c r="J107" s="244"/>
      <c r="K107" s="58"/>
      <c r="L107" s="58"/>
      <c r="M107" s="58"/>
      <c r="N107" s="57"/>
    </row>
    <row r="108" spans="1:14" ht="12.75">
      <c r="A108" s="55"/>
      <c r="B108" s="235"/>
      <c r="C108" s="235"/>
      <c r="D108" s="235"/>
      <c r="E108" s="235"/>
      <c r="F108" s="235"/>
      <c r="G108" s="235"/>
      <c r="H108" s="235"/>
      <c r="I108" s="235"/>
      <c r="J108" s="235"/>
      <c r="K108" s="58"/>
      <c r="L108" s="58"/>
      <c r="M108" s="58"/>
      <c r="N108" s="57"/>
    </row>
    <row r="109" spans="1:14" ht="12.75">
      <c r="A109" s="55"/>
      <c r="B109" s="235"/>
      <c r="C109" s="235"/>
      <c r="D109" s="235"/>
      <c r="E109" s="236"/>
      <c r="F109" s="236"/>
      <c r="G109" s="236"/>
      <c r="H109" s="236"/>
      <c r="I109" s="236"/>
      <c r="J109" s="236"/>
      <c r="K109" s="58"/>
      <c r="L109" s="58"/>
      <c r="M109" s="58"/>
      <c r="N109" s="57"/>
    </row>
    <row r="110" spans="1:14" ht="12.75">
      <c r="A110" s="55"/>
      <c r="B110" s="247"/>
      <c r="C110" s="235"/>
      <c r="D110" s="235"/>
      <c r="E110" s="242"/>
      <c r="F110" s="242"/>
      <c r="G110" s="242"/>
      <c r="H110" s="242"/>
      <c r="I110" s="242"/>
      <c r="J110" s="242"/>
      <c r="K110" s="56"/>
      <c r="L110" s="56"/>
      <c r="M110" s="56"/>
      <c r="N110" s="57"/>
    </row>
    <row r="111" spans="1:14" ht="12.75">
      <c r="A111" s="55"/>
      <c r="B111" s="245"/>
      <c r="C111" s="245"/>
      <c r="D111" s="245"/>
      <c r="E111" s="246"/>
      <c r="F111" s="246"/>
      <c r="G111" s="246"/>
      <c r="H111" s="246"/>
      <c r="I111" s="246"/>
      <c r="J111" s="246"/>
      <c r="K111" s="58"/>
      <c r="L111" s="58"/>
      <c r="M111" s="58"/>
      <c r="N111" s="57"/>
    </row>
    <row r="112" spans="1:14" ht="12.75">
      <c r="A112" s="55"/>
      <c r="B112" s="236"/>
      <c r="C112" s="236"/>
      <c r="D112" s="236"/>
      <c r="E112" s="236"/>
      <c r="F112" s="236"/>
      <c r="G112" s="236"/>
      <c r="H112" s="236"/>
      <c r="I112" s="236"/>
      <c r="J112" s="236"/>
      <c r="K112" s="58"/>
      <c r="L112" s="58"/>
      <c r="M112" s="58"/>
      <c r="N112" s="57"/>
    </row>
    <row r="113" spans="1:14" ht="12.75">
      <c r="A113" s="55"/>
      <c r="B113" s="236"/>
      <c r="C113" s="236"/>
      <c r="D113" s="236"/>
      <c r="E113" s="236"/>
      <c r="F113" s="236"/>
      <c r="G113" s="236"/>
      <c r="H113" s="236"/>
      <c r="I113" s="236"/>
      <c r="J113" s="236"/>
      <c r="K113" s="58"/>
      <c r="L113" s="58"/>
      <c r="M113" s="58"/>
      <c r="N113" s="57"/>
    </row>
    <row r="114" spans="1:14" ht="12.75">
      <c r="A114" s="55"/>
      <c r="B114" s="248"/>
      <c r="C114" s="248"/>
      <c r="D114" s="248"/>
      <c r="E114" s="246"/>
      <c r="F114" s="246"/>
      <c r="G114" s="246"/>
      <c r="H114" s="246"/>
      <c r="I114" s="246"/>
      <c r="J114" s="246"/>
      <c r="K114" s="58"/>
      <c r="L114" s="58"/>
      <c r="M114" s="58"/>
      <c r="N114" s="57"/>
    </row>
    <row r="115" spans="1:14" ht="12.75">
      <c r="A115" s="55"/>
      <c r="B115" s="248"/>
      <c r="C115" s="248"/>
      <c r="D115" s="248"/>
      <c r="E115" s="246"/>
      <c r="F115" s="246"/>
      <c r="G115" s="246"/>
      <c r="H115" s="246"/>
      <c r="I115" s="246"/>
      <c r="J115" s="246"/>
      <c r="K115" s="58"/>
      <c r="L115" s="58"/>
      <c r="M115" s="58"/>
      <c r="N115" s="57"/>
    </row>
    <row r="116" spans="1:14" ht="12.75">
      <c r="A116" s="55"/>
      <c r="B116" s="242"/>
      <c r="C116" s="242"/>
      <c r="D116" s="242"/>
      <c r="E116" s="254"/>
      <c r="F116" s="255"/>
      <c r="G116" s="255"/>
      <c r="H116" s="255"/>
      <c r="I116" s="255"/>
      <c r="J116" s="255"/>
      <c r="K116" s="56"/>
      <c r="L116" s="56"/>
      <c r="M116" s="56"/>
      <c r="N116" s="57"/>
    </row>
    <row r="117" spans="1:14" ht="12.75">
      <c r="A117" s="55"/>
      <c r="B117" s="242"/>
      <c r="C117" s="242"/>
      <c r="D117" s="242"/>
      <c r="E117" s="242"/>
      <c r="F117" s="242"/>
      <c r="G117" s="242"/>
      <c r="H117" s="242"/>
      <c r="I117" s="242"/>
      <c r="J117" s="242"/>
      <c r="K117" s="56"/>
      <c r="L117" s="56"/>
      <c r="M117" s="56"/>
      <c r="N117" s="57"/>
    </row>
    <row r="118" spans="1:14" ht="12.75">
      <c r="A118" s="55"/>
      <c r="B118" s="247"/>
      <c r="C118" s="235"/>
      <c r="D118" s="235"/>
      <c r="E118" s="247"/>
      <c r="F118" s="247"/>
      <c r="G118" s="247"/>
      <c r="H118" s="247"/>
      <c r="I118" s="247"/>
      <c r="J118" s="247"/>
      <c r="K118" s="56"/>
      <c r="L118" s="56"/>
      <c r="M118" s="56"/>
      <c r="N118" s="57"/>
    </row>
    <row r="119" spans="1:14" ht="12.7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</row>
    <row r="120" spans="1:14" ht="12.75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</row>
  </sheetData>
  <sheetProtection/>
  <mergeCells count="233">
    <mergeCell ref="E84:J84"/>
    <mergeCell ref="B81:D81"/>
    <mergeCell ref="E81:J81"/>
    <mergeCell ref="B82:D82"/>
    <mergeCell ref="E82:J82"/>
    <mergeCell ref="E59:J59"/>
    <mergeCell ref="E87:I87"/>
    <mergeCell ref="E88:I88"/>
    <mergeCell ref="B87:D87"/>
    <mergeCell ref="B88:D88"/>
    <mergeCell ref="B72:D72"/>
    <mergeCell ref="E72:I72"/>
    <mergeCell ref="B86:D86"/>
    <mergeCell ref="E86:I86"/>
    <mergeCell ref="B84:D84"/>
    <mergeCell ref="E71:I71"/>
    <mergeCell ref="B70:D70"/>
    <mergeCell ref="E70:J70"/>
    <mergeCell ref="B58:D58"/>
    <mergeCell ref="E58:I58"/>
    <mergeCell ref="B66:D66"/>
    <mergeCell ref="E66:I66"/>
    <mergeCell ref="B63:D63"/>
    <mergeCell ref="E63:J63"/>
    <mergeCell ref="B59:D59"/>
    <mergeCell ref="B94:D94"/>
    <mergeCell ref="E94:J94"/>
    <mergeCell ref="B23:D23"/>
    <mergeCell ref="E23:J23"/>
    <mergeCell ref="B24:D24"/>
    <mergeCell ref="E24:J24"/>
    <mergeCell ref="B55:D55"/>
    <mergeCell ref="E55:J55"/>
    <mergeCell ref="B57:D57"/>
    <mergeCell ref="B71:D71"/>
    <mergeCell ref="B118:D118"/>
    <mergeCell ref="E118:J118"/>
    <mergeCell ref="B11:D11"/>
    <mergeCell ref="B36:D36"/>
    <mergeCell ref="B39:D39"/>
    <mergeCell ref="E57:J57"/>
    <mergeCell ref="B116:D116"/>
    <mergeCell ref="E116:J116"/>
    <mergeCell ref="B117:D117"/>
    <mergeCell ref="B25:D25"/>
    <mergeCell ref="B113:D113"/>
    <mergeCell ref="E113:J113"/>
    <mergeCell ref="E117:J117"/>
    <mergeCell ref="B114:D114"/>
    <mergeCell ref="E114:J114"/>
    <mergeCell ref="B115:D115"/>
    <mergeCell ref="E115:J115"/>
    <mergeCell ref="B110:D110"/>
    <mergeCell ref="E110:J110"/>
    <mergeCell ref="B111:D111"/>
    <mergeCell ref="E111:J111"/>
    <mergeCell ref="B105:D105"/>
    <mergeCell ref="E105:J105"/>
    <mergeCell ref="B112:D112"/>
    <mergeCell ref="E112:J112"/>
    <mergeCell ref="B107:D107"/>
    <mergeCell ref="E107:J107"/>
    <mergeCell ref="B108:D108"/>
    <mergeCell ref="E108:J108"/>
    <mergeCell ref="B109:D109"/>
    <mergeCell ref="E109:J109"/>
    <mergeCell ref="B106:D106"/>
    <mergeCell ref="E106:J106"/>
    <mergeCell ref="B101:D101"/>
    <mergeCell ref="E101:J101"/>
    <mergeCell ref="B102:D102"/>
    <mergeCell ref="E102:J102"/>
    <mergeCell ref="B103:D103"/>
    <mergeCell ref="E103:J103"/>
    <mergeCell ref="B104:D104"/>
    <mergeCell ref="E104:J104"/>
    <mergeCell ref="B98:D98"/>
    <mergeCell ref="E98:J98"/>
    <mergeCell ref="B99:D99"/>
    <mergeCell ref="E99:J99"/>
    <mergeCell ref="B100:D100"/>
    <mergeCell ref="E100:J100"/>
    <mergeCell ref="B90:D90"/>
    <mergeCell ref="E90:J90"/>
    <mergeCell ref="B97:D97"/>
    <mergeCell ref="E97:J97"/>
    <mergeCell ref="B91:D91"/>
    <mergeCell ref="E91:I91"/>
    <mergeCell ref="E92:I92"/>
    <mergeCell ref="E93:I93"/>
    <mergeCell ref="B92:D92"/>
    <mergeCell ref="B93:D93"/>
    <mergeCell ref="B85:D85"/>
    <mergeCell ref="E85:J85"/>
    <mergeCell ref="B89:D89"/>
    <mergeCell ref="E89:J89"/>
    <mergeCell ref="B83:D83"/>
    <mergeCell ref="E83:J83"/>
    <mergeCell ref="B78:D78"/>
    <mergeCell ref="E78:J78"/>
    <mergeCell ref="B79:D79"/>
    <mergeCell ref="E79:J79"/>
    <mergeCell ref="B80:D80"/>
    <mergeCell ref="E80:J80"/>
    <mergeCell ref="B75:D75"/>
    <mergeCell ref="E75:J75"/>
    <mergeCell ref="B76:D76"/>
    <mergeCell ref="E76:J76"/>
    <mergeCell ref="B73:D73"/>
    <mergeCell ref="E73:J73"/>
    <mergeCell ref="B74:D74"/>
    <mergeCell ref="E74:J74"/>
    <mergeCell ref="B62:D62"/>
    <mergeCell ref="E62:J62"/>
    <mergeCell ref="B67:D67"/>
    <mergeCell ref="E67:J67"/>
    <mergeCell ref="B49:D49"/>
    <mergeCell ref="E49:J49"/>
    <mergeCell ref="B50:D50"/>
    <mergeCell ref="E50:J50"/>
    <mergeCell ref="B51:D51"/>
    <mergeCell ref="E51:I51"/>
    <mergeCell ref="E52:I52"/>
    <mergeCell ref="E53:I53"/>
    <mergeCell ref="B45:D45"/>
    <mergeCell ref="E45:J45"/>
    <mergeCell ref="B46:D46"/>
    <mergeCell ref="E46:J46"/>
    <mergeCell ref="B44:D44"/>
    <mergeCell ref="E44:J44"/>
    <mergeCell ref="B41:D41"/>
    <mergeCell ref="E41:J41"/>
    <mergeCell ref="E42:J42"/>
    <mergeCell ref="E40:I40"/>
    <mergeCell ref="B38:D38"/>
    <mergeCell ref="B33:D33"/>
    <mergeCell ref="E33:J33"/>
    <mergeCell ref="B34:D34"/>
    <mergeCell ref="E34:J34"/>
    <mergeCell ref="E36:J36"/>
    <mergeCell ref="E39:J39"/>
    <mergeCell ref="B40:D40"/>
    <mergeCell ref="E37:I37"/>
    <mergeCell ref="B30:D30"/>
    <mergeCell ref="E30:J30"/>
    <mergeCell ref="B31:D31"/>
    <mergeCell ref="E31:J31"/>
    <mergeCell ref="B29:D29"/>
    <mergeCell ref="E29:I29"/>
    <mergeCell ref="B26:D26"/>
    <mergeCell ref="E26:J26"/>
    <mergeCell ref="E25:I25"/>
    <mergeCell ref="B27:D27"/>
    <mergeCell ref="E27:J27"/>
    <mergeCell ref="B28:D28"/>
    <mergeCell ref="E28:J28"/>
    <mergeCell ref="B20:D20"/>
    <mergeCell ref="E20:J20"/>
    <mergeCell ref="B21:D21"/>
    <mergeCell ref="E21:J21"/>
    <mergeCell ref="B22:D22"/>
    <mergeCell ref="E22:J22"/>
    <mergeCell ref="B14:D14"/>
    <mergeCell ref="E14:J14"/>
    <mergeCell ref="B17:D17"/>
    <mergeCell ref="E17:J17"/>
    <mergeCell ref="B19:D19"/>
    <mergeCell ref="E19:J19"/>
    <mergeCell ref="B18:D18"/>
    <mergeCell ref="E18:J18"/>
    <mergeCell ref="E11:J11"/>
    <mergeCell ref="B12:D12"/>
    <mergeCell ref="E12:J12"/>
    <mergeCell ref="E15:J15"/>
    <mergeCell ref="B16:D16"/>
    <mergeCell ref="E16:J16"/>
    <mergeCell ref="B13:D13"/>
    <mergeCell ref="E13:J13"/>
    <mergeCell ref="B8:D8"/>
    <mergeCell ref="E8:J8"/>
    <mergeCell ref="B9:D9"/>
    <mergeCell ref="E9:J9"/>
    <mergeCell ref="B10:D10"/>
    <mergeCell ref="E10:J10"/>
    <mergeCell ref="M3:M4"/>
    <mergeCell ref="B5:D5"/>
    <mergeCell ref="E5:J5"/>
    <mergeCell ref="B6:D6"/>
    <mergeCell ref="E6:J6"/>
    <mergeCell ref="B7:D7"/>
    <mergeCell ref="E7:J7"/>
    <mergeCell ref="L3:L4"/>
    <mergeCell ref="A1:K1"/>
    <mergeCell ref="A3:A4"/>
    <mergeCell ref="B3:D4"/>
    <mergeCell ref="E3:J4"/>
    <mergeCell ref="K3:K4"/>
    <mergeCell ref="E38:I38"/>
    <mergeCell ref="B37:D37"/>
    <mergeCell ref="B32:D32"/>
    <mergeCell ref="E32:I32"/>
    <mergeCell ref="B35:D35"/>
    <mergeCell ref="E35:J35"/>
    <mergeCell ref="B48:D48"/>
    <mergeCell ref="E48:J48"/>
    <mergeCell ref="B43:D43"/>
    <mergeCell ref="E54:I54"/>
    <mergeCell ref="B52:D52"/>
    <mergeCell ref="B53:D53"/>
    <mergeCell ref="B54:D54"/>
    <mergeCell ref="B47:D47"/>
    <mergeCell ref="E47:J47"/>
    <mergeCell ref="E43:J43"/>
    <mergeCell ref="B56:D56"/>
    <mergeCell ref="E56:I56"/>
    <mergeCell ref="B95:D95"/>
    <mergeCell ref="E95:I95"/>
    <mergeCell ref="B69:D69"/>
    <mergeCell ref="E69:J69"/>
    <mergeCell ref="B60:D60"/>
    <mergeCell ref="E60:J60"/>
    <mergeCell ref="B61:D61"/>
    <mergeCell ref="E61:J61"/>
    <mergeCell ref="B96:D96"/>
    <mergeCell ref="E96:I96"/>
    <mergeCell ref="B64:D64"/>
    <mergeCell ref="E64:J64"/>
    <mergeCell ref="B65:D65"/>
    <mergeCell ref="E65:J65"/>
    <mergeCell ref="B68:D68"/>
    <mergeCell ref="E68:J68"/>
    <mergeCell ref="B77:D77"/>
    <mergeCell ref="E77:J77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5"/>
  <sheetViews>
    <sheetView zoomScaleSheetLayoutView="75" workbookViewId="0" topLeftCell="A3">
      <selection activeCell="A3" sqref="A3:G3"/>
    </sheetView>
  </sheetViews>
  <sheetFormatPr defaultColWidth="9.140625" defaultRowHeight="12.75"/>
  <cols>
    <col min="1" max="1" width="6.421875" style="60" customWidth="1"/>
    <col min="2" max="2" width="6.140625" style="60" customWidth="1"/>
    <col min="3" max="3" width="9.7109375" style="60" customWidth="1"/>
    <col min="4" max="4" width="5.00390625" style="60" customWidth="1"/>
    <col min="5" max="5" width="50.57421875" style="62" customWidth="1"/>
    <col min="6" max="6" width="22.28125" style="153" customWidth="1"/>
    <col min="7" max="7" width="16.57421875" style="64" customWidth="1"/>
    <col min="8" max="8" width="11.421875" style="64" customWidth="1"/>
    <col min="9" max="9" width="13.421875" style="65" bestFit="1" customWidth="1"/>
    <col min="10" max="10" width="10.8515625" style="65" bestFit="1" customWidth="1"/>
    <col min="11" max="16384" width="9.140625" style="65" customWidth="1"/>
  </cols>
  <sheetData>
    <row r="1" spans="1:6" ht="12.75" customHeight="1" hidden="1">
      <c r="A1" s="60" t="s">
        <v>1196</v>
      </c>
      <c r="B1" s="61" t="s">
        <v>1197</v>
      </c>
      <c r="C1" s="61" t="s">
        <v>1197</v>
      </c>
      <c r="D1" s="61" t="s">
        <v>1197</v>
      </c>
      <c r="E1" s="62" t="s">
        <v>1197</v>
      </c>
      <c r="F1" s="63" t="s">
        <v>1198</v>
      </c>
    </row>
    <row r="2" spans="1:6" ht="12.75" customHeight="1" hidden="1">
      <c r="A2" s="66"/>
      <c r="B2" s="66"/>
      <c r="C2" s="66"/>
      <c r="D2" s="66"/>
      <c r="E2" s="67" t="s">
        <v>1199</v>
      </c>
      <c r="F2" s="68"/>
    </row>
    <row r="3" spans="1:8" s="70" customFormat="1" ht="54.75" customHeight="1">
      <c r="A3" s="32" t="s">
        <v>905</v>
      </c>
      <c r="B3" s="32"/>
      <c r="C3" s="32"/>
      <c r="D3" s="32"/>
      <c r="E3" s="32"/>
      <c r="F3" s="32"/>
      <c r="G3" s="32"/>
      <c r="H3" s="69"/>
    </row>
    <row r="4" spans="1:8" s="70" customFormat="1" ht="16.5" customHeight="1">
      <c r="A4" s="71"/>
      <c r="B4" s="71"/>
      <c r="C4" s="71"/>
      <c r="D4" s="71"/>
      <c r="E4" s="71"/>
      <c r="F4" s="72"/>
      <c r="G4" s="69"/>
      <c r="H4" s="69"/>
    </row>
    <row r="5" spans="1:12" s="79" customFormat="1" ht="85.5" customHeight="1">
      <c r="A5" s="73" t="s">
        <v>1200</v>
      </c>
      <c r="B5" s="74" t="s">
        <v>1201</v>
      </c>
      <c r="C5" s="75" t="s">
        <v>1202</v>
      </c>
      <c r="D5" s="74" t="s">
        <v>1203</v>
      </c>
      <c r="E5" s="76" t="s">
        <v>1204</v>
      </c>
      <c r="F5" s="77" t="s">
        <v>1205</v>
      </c>
      <c r="G5" s="77" t="s">
        <v>1206</v>
      </c>
      <c r="H5" s="78" t="s">
        <v>1207</v>
      </c>
      <c r="J5" s="263"/>
      <c r="K5" s="264"/>
      <c r="L5" s="264"/>
    </row>
    <row r="6" spans="1:8" s="79" customFormat="1" ht="12.75">
      <c r="A6" s="80" t="s">
        <v>938</v>
      </c>
      <c r="B6" s="80" t="s">
        <v>941</v>
      </c>
      <c r="C6" s="80" t="s">
        <v>944</v>
      </c>
      <c r="D6" s="80" t="s">
        <v>947</v>
      </c>
      <c r="E6" s="80" t="s">
        <v>950</v>
      </c>
      <c r="F6" s="80" t="s">
        <v>953</v>
      </c>
      <c r="G6" s="81">
        <v>8</v>
      </c>
      <c r="H6" s="82">
        <v>9</v>
      </c>
    </row>
    <row r="7" spans="1:8" s="79" customFormat="1" ht="15.75">
      <c r="A7" s="83" t="s">
        <v>938</v>
      </c>
      <c r="B7" s="84" t="s">
        <v>1208</v>
      </c>
      <c r="C7" s="84"/>
      <c r="D7" s="85"/>
      <c r="E7" s="86" t="s">
        <v>1209</v>
      </c>
      <c r="F7" s="87">
        <f>F8+F12+F21+F32+F44+F48</f>
        <v>40930863</v>
      </c>
      <c r="G7" s="87">
        <f>G8+G12+G21+G32+G44+G48</f>
        <v>18960443.499999996</v>
      </c>
      <c r="H7" s="88">
        <f aca="true" t="shared" si="0" ref="H7:H70">G7/F7*100</f>
        <v>46.323097316565246</v>
      </c>
    </row>
    <row r="8" spans="1:8" s="90" customFormat="1" ht="51" customHeight="1">
      <c r="A8" s="83" t="s">
        <v>941</v>
      </c>
      <c r="B8" s="84" t="s">
        <v>1210</v>
      </c>
      <c r="C8" s="84"/>
      <c r="D8" s="85"/>
      <c r="E8" s="89" t="s">
        <v>1211</v>
      </c>
      <c r="F8" s="87">
        <f>F9</f>
        <v>1052446</v>
      </c>
      <c r="G8" s="87">
        <f>G9</f>
        <v>622219.3</v>
      </c>
      <c r="H8" s="88">
        <f t="shared" si="0"/>
        <v>59.12125657753462</v>
      </c>
    </row>
    <row r="9" spans="1:8" s="90" customFormat="1" ht="20.25" customHeight="1">
      <c r="A9" s="83" t="s">
        <v>944</v>
      </c>
      <c r="B9" s="83" t="s">
        <v>1210</v>
      </c>
      <c r="C9" s="83" t="s">
        <v>1212</v>
      </c>
      <c r="D9" s="85"/>
      <c r="E9" s="67" t="s">
        <v>1213</v>
      </c>
      <c r="F9" s="91">
        <f>F10</f>
        <v>1052446</v>
      </c>
      <c r="G9" s="92">
        <f>G10</f>
        <v>622219.3</v>
      </c>
      <c r="H9" s="93">
        <f t="shared" si="0"/>
        <v>59.12125657753462</v>
      </c>
    </row>
    <row r="10" spans="1:8" s="94" customFormat="1" ht="21" customHeight="1">
      <c r="A10" s="83" t="s">
        <v>947</v>
      </c>
      <c r="B10" s="83" t="s">
        <v>1210</v>
      </c>
      <c r="C10" s="83" t="s">
        <v>1214</v>
      </c>
      <c r="D10" s="85"/>
      <c r="E10" s="67" t="s">
        <v>1215</v>
      </c>
      <c r="F10" s="91">
        <f>F11</f>
        <v>1052446</v>
      </c>
      <c r="G10" s="92">
        <v>622219.3</v>
      </c>
      <c r="H10" s="93">
        <f t="shared" si="0"/>
        <v>59.12125657753462</v>
      </c>
    </row>
    <row r="11" spans="1:8" s="90" customFormat="1" ht="29.25" customHeight="1">
      <c r="A11" s="83" t="s">
        <v>950</v>
      </c>
      <c r="B11" s="83" t="s">
        <v>1210</v>
      </c>
      <c r="C11" s="83" t="s">
        <v>1214</v>
      </c>
      <c r="D11" s="95" t="s">
        <v>1216</v>
      </c>
      <c r="E11" s="67" t="s">
        <v>1217</v>
      </c>
      <c r="F11" s="96">
        <f>1044446+8000</f>
        <v>1052446</v>
      </c>
      <c r="G11" s="92">
        <v>622219.3</v>
      </c>
      <c r="H11" s="93">
        <f t="shared" si="0"/>
        <v>59.12125657753462</v>
      </c>
    </row>
    <row r="12" spans="1:8" s="90" customFormat="1" ht="63.75" customHeight="1">
      <c r="A12" s="83" t="s">
        <v>953</v>
      </c>
      <c r="B12" s="84" t="s">
        <v>1218</v>
      </c>
      <c r="C12" s="84"/>
      <c r="D12" s="85"/>
      <c r="E12" s="89" t="s">
        <v>1219</v>
      </c>
      <c r="F12" s="87">
        <f>F13</f>
        <v>1408423</v>
      </c>
      <c r="G12" s="87">
        <f>G13</f>
        <v>506987.04000000004</v>
      </c>
      <c r="H12" s="88">
        <f t="shared" si="0"/>
        <v>35.996787896817935</v>
      </c>
    </row>
    <row r="13" spans="1:8" s="90" customFormat="1" ht="17.25" customHeight="1">
      <c r="A13" s="83" t="s">
        <v>956</v>
      </c>
      <c r="B13" s="83" t="s">
        <v>1218</v>
      </c>
      <c r="C13" s="83" t="s">
        <v>1212</v>
      </c>
      <c r="D13" s="85"/>
      <c r="E13" s="67" t="s">
        <v>1213</v>
      </c>
      <c r="F13" s="87">
        <f>F14+F19+F17</f>
        <v>1408423</v>
      </c>
      <c r="G13" s="92">
        <f>G14+G19+G17</f>
        <v>506987.04000000004</v>
      </c>
      <c r="H13" s="93">
        <f t="shared" si="0"/>
        <v>35.996787896817935</v>
      </c>
    </row>
    <row r="14" spans="1:8" s="94" customFormat="1" ht="31.5">
      <c r="A14" s="83" t="s">
        <v>959</v>
      </c>
      <c r="B14" s="83" t="s">
        <v>1218</v>
      </c>
      <c r="C14" s="83" t="s">
        <v>1220</v>
      </c>
      <c r="D14" s="97"/>
      <c r="E14" s="67" t="s">
        <v>1221</v>
      </c>
      <c r="F14" s="91">
        <f>SUM(F15:F16)</f>
        <v>1393605</v>
      </c>
      <c r="G14" s="92">
        <f>SUM(G15:G16)</f>
        <v>506169.7</v>
      </c>
      <c r="H14" s="93">
        <f t="shared" si="0"/>
        <v>36.32088719543917</v>
      </c>
    </row>
    <row r="15" spans="1:8" s="94" customFormat="1" ht="36.75" customHeight="1">
      <c r="A15" s="83" t="s">
        <v>962</v>
      </c>
      <c r="B15" s="83" t="s">
        <v>1218</v>
      </c>
      <c r="C15" s="83" t="s">
        <v>1220</v>
      </c>
      <c r="D15" s="97" t="s">
        <v>1216</v>
      </c>
      <c r="E15" s="67" t="s">
        <v>1217</v>
      </c>
      <c r="F15" s="96">
        <v>823844</v>
      </c>
      <c r="G15" s="98">
        <v>345328.59</v>
      </c>
      <c r="H15" s="93">
        <f t="shared" si="0"/>
        <v>41.91674516049155</v>
      </c>
    </row>
    <row r="16" spans="1:8" ht="48.75" customHeight="1">
      <c r="A16" s="83" t="s">
        <v>965</v>
      </c>
      <c r="B16" s="83" t="s">
        <v>1218</v>
      </c>
      <c r="C16" s="83" t="s">
        <v>1220</v>
      </c>
      <c r="D16" s="97" t="s">
        <v>1222</v>
      </c>
      <c r="E16" s="99" t="s">
        <v>1223</v>
      </c>
      <c r="F16" s="96">
        <f>530579-818+40000</f>
        <v>569761</v>
      </c>
      <c r="G16" s="98">
        <v>160841.11</v>
      </c>
      <c r="H16" s="93">
        <f t="shared" si="0"/>
        <v>28.229575207850306</v>
      </c>
    </row>
    <row r="17" spans="1:8" ht="28.5" customHeight="1">
      <c r="A17" s="83" t="s">
        <v>968</v>
      </c>
      <c r="B17" s="83" t="s">
        <v>1218</v>
      </c>
      <c r="C17" s="83" t="s">
        <v>1224</v>
      </c>
      <c r="D17" s="97"/>
      <c r="E17" s="67" t="s">
        <v>1225</v>
      </c>
      <c r="F17" s="96">
        <f>F18</f>
        <v>818</v>
      </c>
      <c r="G17" s="98">
        <f>G18</f>
        <v>817.34</v>
      </c>
      <c r="H17" s="93">
        <f t="shared" si="0"/>
        <v>99.91931540342298</v>
      </c>
    </row>
    <row r="18" spans="1:8" ht="48" customHeight="1">
      <c r="A18" s="83" t="s">
        <v>971</v>
      </c>
      <c r="B18" s="83" t="s">
        <v>1218</v>
      </c>
      <c r="C18" s="83" t="s">
        <v>1224</v>
      </c>
      <c r="D18" s="97" t="s">
        <v>1222</v>
      </c>
      <c r="E18" s="99" t="s">
        <v>1223</v>
      </c>
      <c r="F18" s="96">
        <v>818</v>
      </c>
      <c r="G18" s="98">
        <v>817.34</v>
      </c>
      <c r="H18" s="93">
        <f t="shared" si="0"/>
        <v>99.91931540342298</v>
      </c>
    </row>
    <row r="19" spans="1:8" ht="46.5" customHeight="1">
      <c r="A19" s="83" t="s">
        <v>973</v>
      </c>
      <c r="B19" s="83" t="s">
        <v>1218</v>
      </c>
      <c r="C19" s="83" t="s">
        <v>1226</v>
      </c>
      <c r="D19" s="95"/>
      <c r="E19" s="100" t="s">
        <v>1227</v>
      </c>
      <c r="F19" s="96">
        <f>F20</f>
        <v>14000</v>
      </c>
      <c r="G19" s="98">
        <f>G20</f>
        <v>0</v>
      </c>
      <c r="H19" s="93">
        <f t="shared" si="0"/>
        <v>0</v>
      </c>
    </row>
    <row r="20" spans="1:8" ht="33.75" customHeight="1">
      <c r="A20" s="83" t="s">
        <v>975</v>
      </c>
      <c r="B20" s="83" t="s">
        <v>1218</v>
      </c>
      <c r="C20" s="83" t="s">
        <v>1226</v>
      </c>
      <c r="D20" s="95" t="s">
        <v>1228</v>
      </c>
      <c r="E20" s="99" t="s">
        <v>0</v>
      </c>
      <c r="F20" s="96">
        <f>54000-40000</f>
        <v>14000</v>
      </c>
      <c r="G20" s="98">
        <v>0</v>
      </c>
      <c r="H20" s="93">
        <f t="shared" si="0"/>
        <v>0</v>
      </c>
    </row>
    <row r="21" spans="1:8" s="90" customFormat="1" ht="66.75" customHeight="1">
      <c r="A21" s="83" t="s">
        <v>978</v>
      </c>
      <c r="B21" s="84" t="s">
        <v>1</v>
      </c>
      <c r="C21" s="84"/>
      <c r="D21" s="85"/>
      <c r="E21" s="89" t="s">
        <v>2</v>
      </c>
      <c r="F21" s="87">
        <f>F22</f>
        <v>24520443</v>
      </c>
      <c r="G21" s="101">
        <f>G22</f>
        <v>11928061.54</v>
      </c>
      <c r="H21" s="88">
        <f t="shared" si="0"/>
        <v>48.64537537107302</v>
      </c>
    </row>
    <row r="22" spans="1:8" s="90" customFormat="1" ht="20.25" customHeight="1">
      <c r="A22" s="83" t="s">
        <v>981</v>
      </c>
      <c r="B22" s="83" t="s">
        <v>1</v>
      </c>
      <c r="C22" s="83" t="s">
        <v>1212</v>
      </c>
      <c r="D22" s="85"/>
      <c r="E22" s="67" t="s">
        <v>1213</v>
      </c>
      <c r="F22" s="92">
        <f>F23+F30+F28</f>
        <v>24520443</v>
      </c>
      <c r="G22" s="92">
        <f>G23+G30+G28</f>
        <v>11928061.54</v>
      </c>
      <c r="H22" s="93">
        <f t="shared" si="0"/>
        <v>48.64537537107302</v>
      </c>
    </row>
    <row r="23" spans="1:8" s="90" customFormat="1" ht="33.75" customHeight="1">
      <c r="A23" s="83" t="s">
        <v>984</v>
      </c>
      <c r="B23" s="83" t="s">
        <v>1</v>
      </c>
      <c r="C23" s="83" t="s">
        <v>1220</v>
      </c>
      <c r="D23" s="97"/>
      <c r="E23" s="67" t="s">
        <v>1221</v>
      </c>
      <c r="F23" s="91">
        <f>SUM(F24:F27)</f>
        <v>23420630</v>
      </c>
      <c r="G23" s="92">
        <f>SUM(G24:G27)</f>
        <v>11221459.82</v>
      </c>
      <c r="H23" s="93">
        <f t="shared" si="0"/>
        <v>47.91271549911339</v>
      </c>
    </row>
    <row r="24" spans="1:8" s="90" customFormat="1" ht="42" customHeight="1">
      <c r="A24" s="83" t="s">
        <v>987</v>
      </c>
      <c r="B24" s="83" t="s">
        <v>1</v>
      </c>
      <c r="C24" s="83" t="s">
        <v>1220</v>
      </c>
      <c r="D24" s="97" t="s">
        <v>1216</v>
      </c>
      <c r="E24" s="67" t="s">
        <v>1217</v>
      </c>
      <c r="F24" s="96">
        <v>17504681</v>
      </c>
      <c r="G24" s="98">
        <v>8660901.02</v>
      </c>
      <c r="H24" s="93">
        <f t="shared" si="0"/>
        <v>49.47762841265145</v>
      </c>
    </row>
    <row r="25" spans="1:8" s="90" customFormat="1" ht="49.5" customHeight="1">
      <c r="A25" s="83" t="s">
        <v>990</v>
      </c>
      <c r="B25" s="83" t="s">
        <v>1</v>
      </c>
      <c r="C25" s="83" t="s">
        <v>1220</v>
      </c>
      <c r="D25" s="97" t="s">
        <v>1222</v>
      </c>
      <c r="E25" s="99" t="s">
        <v>1223</v>
      </c>
      <c r="F25" s="96">
        <v>5777742</v>
      </c>
      <c r="G25" s="98">
        <v>2481518.58</v>
      </c>
      <c r="H25" s="93">
        <f t="shared" si="0"/>
        <v>42.949625995760975</v>
      </c>
    </row>
    <row r="26" spans="1:8" s="90" customFormat="1" ht="26.25" customHeight="1">
      <c r="A26" s="83" t="s">
        <v>993</v>
      </c>
      <c r="B26" s="83" t="s">
        <v>1</v>
      </c>
      <c r="C26" s="83" t="s">
        <v>1220</v>
      </c>
      <c r="D26" s="97" t="s">
        <v>3</v>
      </c>
      <c r="E26" s="99" t="s">
        <v>4</v>
      </c>
      <c r="F26" s="96">
        <v>41253</v>
      </c>
      <c r="G26" s="98">
        <v>2971.22</v>
      </c>
      <c r="H26" s="93">
        <f t="shared" si="0"/>
        <v>7.202433762393038</v>
      </c>
    </row>
    <row r="27" spans="1:8" s="90" customFormat="1" ht="20.25" customHeight="1">
      <c r="A27" s="83" t="s">
        <v>996</v>
      </c>
      <c r="B27" s="83" t="s">
        <v>1</v>
      </c>
      <c r="C27" s="83" t="s">
        <v>1220</v>
      </c>
      <c r="D27" s="97" t="s">
        <v>5</v>
      </c>
      <c r="E27" s="67" t="s">
        <v>6</v>
      </c>
      <c r="F27" s="96">
        <v>96954</v>
      </c>
      <c r="G27" s="98">
        <v>76069</v>
      </c>
      <c r="H27" s="93">
        <f t="shared" si="0"/>
        <v>78.45885677744084</v>
      </c>
    </row>
    <row r="28" spans="1:8" ht="31.5" customHeight="1">
      <c r="A28" s="83" t="s">
        <v>999</v>
      </c>
      <c r="B28" s="83" t="s">
        <v>1</v>
      </c>
      <c r="C28" s="83" t="s">
        <v>1224</v>
      </c>
      <c r="D28" s="97"/>
      <c r="E28" s="99" t="s">
        <v>7</v>
      </c>
      <c r="F28" s="98">
        <f>F29</f>
        <v>179036</v>
      </c>
      <c r="G28" s="98">
        <f>G29</f>
        <v>178394.77</v>
      </c>
      <c r="H28" s="93">
        <f t="shared" si="0"/>
        <v>99.64184298129985</v>
      </c>
    </row>
    <row r="29" spans="1:8" ht="35.25" customHeight="1">
      <c r="A29" s="83" t="s">
        <v>1002</v>
      </c>
      <c r="B29" s="83" t="s">
        <v>1</v>
      </c>
      <c r="C29" s="83" t="s">
        <v>1224</v>
      </c>
      <c r="D29" s="97" t="s">
        <v>1222</v>
      </c>
      <c r="E29" s="99" t="s">
        <v>1223</v>
      </c>
      <c r="F29" s="96">
        <v>179036</v>
      </c>
      <c r="G29" s="98">
        <v>178394.77</v>
      </c>
      <c r="H29" s="93">
        <f t="shared" si="0"/>
        <v>99.64184298129985</v>
      </c>
    </row>
    <row r="30" spans="1:8" ht="35.25" customHeight="1">
      <c r="A30" s="83" t="s">
        <v>1005</v>
      </c>
      <c r="B30" s="83" t="s">
        <v>1</v>
      </c>
      <c r="C30" s="83" t="s">
        <v>8</v>
      </c>
      <c r="D30" s="95"/>
      <c r="E30" s="100" t="s">
        <v>9</v>
      </c>
      <c r="F30" s="96">
        <v>920777</v>
      </c>
      <c r="G30" s="98">
        <f>G31</f>
        <v>528206.95</v>
      </c>
      <c r="H30" s="93">
        <f t="shared" si="0"/>
        <v>57.36535013363713</v>
      </c>
    </row>
    <row r="31" spans="1:8" ht="35.25" customHeight="1">
      <c r="A31" s="83" t="s">
        <v>1008</v>
      </c>
      <c r="B31" s="83" t="s">
        <v>1</v>
      </c>
      <c r="C31" s="83" t="s">
        <v>8</v>
      </c>
      <c r="D31" s="97" t="s">
        <v>1216</v>
      </c>
      <c r="E31" s="67" t="s">
        <v>1217</v>
      </c>
      <c r="F31" s="91">
        <v>920777</v>
      </c>
      <c r="G31" s="98">
        <v>528206.95</v>
      </c>
      <c r="H31" s="93">
        <f t="shared" si="0"/>
        <v>57.36535013363713</v>
      </c>
    </row>
    <row r="32" spans="1:8" ht="49.5" customHeight="1">
      <c r="A32" s="83" t="s">
        <v>1011</v>
      </c>
      <c r="B32" s="84" t="s">
        <v>10</v>
      </c>
      <c r="C32" s="84"/>
      <c r="D32" s="85"/>
      <c r="E32" s="89" t="s">
        <v>11</v>
      </c>
      <c r="F32" s="91">
        <f>F33+F38</f>
        <v>5983086</v>
      </c>
      <c r="G32" s="91">
        <f>G33+G38</f>
        <v>2408207.9699999997</v>
      </c>
      <c r="H32" s="88">
        <f t="shared" si="0"/>
        <v>40.25026499702661</v>
      </c>
    </row>
    <row r="33" spans="1:8" ht="24.75" customHeight="1">
      <c r="A33" s="83" t="s">
        <v>1014</v>
      </c>
      <c r="B33" s="83" t="s">
        <v>10</v>
      </c>
      <c r="C33" s="83" t="s">
        <v>1212</v>
      </c>
      <c r="D33" s="97"/>
      <c r="E33" s="67" t="s">
        <v>1213</v>
      </c>
      <c r="F33" s="92">
        <f>F34</f>
        <v>1393221</v>
      </c>
      <c r="G33" s="92">
        <f>G34</f>
        <v>698308.24</v>
      </c>
      <c r="H33" s="93">
        <f t="shared" si="0"/>
        <v>50.12185719279282</v>
      </c>
    </row>
    <row r="34" spans="1:8" ht="34.5" customHeight="1">
      <c r="A34" s="83" t="s">
        <v>1017</v>
      </c>
      <c r="B34" s="83" t="s">
        <v>10</v>
      </c>
      <c r="C34" s="83" t="s">
        <v>1220</v>
      </c>
      <c r="D34" s="97"/>
      <c r="E34" s="67" t="s">
        <v>1221</v>
      </c>
      <c r="F34" s="92">
        <f>SUM(F35:F37)</f>
        <v>1393221</v>
      </c>
      <c r="G34" s="92">
        <f>SUM(G35:G37)</f>
        <v>698308.24</v>
      </c>
      <c r="H34" s="93">
        <f t="shared" si="0"/>
        <v>50.12185719279282</v>
      </c>
    </row>
    <row r="35" spans="1:8" ht="38.25" customHeight="1">
      <c r="A35" s="83" t="s">
        <v>1020</v>
      </c>
      <c r="B35" s="83" t="s">
        <v>10</v>
      </c>
      <c r="C35" s="83" t="s">
        <v>1220</v>
      </c>
      <c r="D35" s="97" t="s">
        <v>1216</v>
      </c>
      <c r="E35" s="67" t="s">
        <v>1217</v>
      </c>
      <c r="F35" s="91">
        <v>1256981</v>
      </c>
      <c r="G35" s="92">
        <v>678205.24</v>
      </c>
      <c r="H35" s="93">
        <f t="shared" si="0"/>
        <v>53.95509080885073</v>
      </c>
    </row>
    <row r="36" spans="1:8" ht="47.25" customHeight="1">
      <c r="A36" s="83" t="s">
        <v>1023</v>
      </c>
      <c r="B36" s="83" t="s">
        <v>10</v>
      </c>
      <c r="C36" s="83" t="s">
        <v>1220</v>
      </c>
      <c r="D36" s="97" t="s">
        <v>1222</v>
      </c>
      <c r="E36" s="99" t="s">
        <v>1223</v>
      </c>
      <c r="F36" s="91">
        <v>132740</v>
      </c>
      <c r="G36" s="92">
        <v>17103</v>
      </c>
      <c r="H36" s="93">
        <f t="shared" si="0"/>
        <v>12.884586409522376</v>
      </c>
    </row>
    <row r="37" spans="1:8" ht="24.75" customHeight="1">
      <c r="A37" s="83" t="s">
        <v>1026</v>
      </c>
      <c r="B37" s="83" t="s">
        <v>10</v>
      </c>
      <c r="C37" s="83" t="s">
        <v>1220</v>
      </c>
      <c r="D37" s="97" t="s">
        <v>5</v>
      </c>
      <c r="E37" s="67" t="s">
        <v>6</v>
      </c>
      <c r="F37" s="91">
        <v>3500</v>
      </c>
      <c r="G37" s="92">
        <v>3000</v>
      </c>
      <c r="H37" s="93">
        <f t="shared" si="0"/>
        <v>85.71428571428571</v>
      </c>
    </row>
    <row r="38" spans="1:8" ht="63.75" customHeight="1">
      <c r="A38" s="83" t="s">
        <v>1029</v>
      </c>
      <c r="B38" s="83" t="s">
        <v>10</v>
      </c>
      <c r="C38" s="83" t="s">
        <v>12</v>
      </c>
      <c r="D38" s="97"/>
      <c r="E38" s="67" t="s">
        <v>13</v>
      </c>
      <c r="F38" s="91">
        <f>F39</f>
        <v>4589865</v>
      </c>
      <c r="G38" s="92">
        <f>G39</f>
        <v>1709899.73</v>
      </c>
      <c r="H38" s="93">
        <f t="shared" si="0"/>
        <v>37.25381312958007</v>
      </c>
    </row>
    <row r="39" spans="1:8" ht="79.5" customHeight="1">
      <c r="A39" s="83" t="s">
        <v>1032</v>
      </c>
      <c r="B39" s="83" t="s">
        <v>10</v>
      </c>
      <c r="C39" s="83" t="s">
        <v>14</v>
      </c>
      <c r="D39" s="97"/>
      <c r="E39" s="67" t="s">
        <v>15</v>
      </c>
      <c r="F39" s="92">
        <f>F40</f>
        <v>4589865</v>
      </c>
      <c r="G39" s="92">
        <f>G40</f>
        <v>1709899.73</v>
      </c>
      <c r="H39" s="93">
        <f t="shared" si="0"/>
        <v>37.25381312958007</v>
      </c>
    </row>
    <row r="40" spans="1:8" ht="21.75" customHeight="1">
      <c r="A40" s="83" t="s">
        <v>1035</v>
      </c>
      <c r="B40" s="83" t="s">
        <v>10</v>
      </c>
      <c r="C40" s="83" t="s">
        <v>16</v>
      </c>
      <c r="D40" s="97"/>
      <c r="E40" s="67" t="s">
        <v>17</v>
      </c>
      <c r="F40" s="92">
        <f>SUM(F41:F43)</f>
        <v>4589865</v>
      </c>
      <c r="G40" s="92">
        <f>SUM(G41:G43)</f>
        <v>1709899.73</v>
      </c>
      <c r="H40" s="93">
        <f t="shared" si="0"/>
        <v>37.25381312958007</v>
      </c>
    </row>
    <row r="41" spans="1:8" ht="30.75" customHeight="1">
      <c r="A41" s="83" t="s">
        <v>1038</v>
      </c>
      <c r="B41" s="83" t="s">
        <v>10</v>
      </c>
      <c r="C41" s="83" t="s">
        <v>16</v>
      </c>
      <c r="D41" s="97" t="s">
        <v>1216</v>
      </c>
      <c r="E41" s="67" t="s">
        <v>1217</v>
      </c>
      <c r="F41" s="91">
        <v>3420811</v>
      </c>
      <c r="G41" s="92">
        <v>1479175.3</v>
      </c>
      <c r="H41" s="93">
        <f t="shared" si="0"/>
        <v>43.240485954938755</v>
      </c>
    </row>
    <row r="42" spans="1:8" ht="34.5" customHeight="1">
      <c r="A42" s="83" t="s">
        <v>1041</v>
      </c>
      <c r="B42" s="83" t="s">
        <v>10</v>
      </c>
      <c r="C42" s="83" t="s">
        <v>16</v>
      </c>
      <c r="D42" s="97" t="s">
        <v>1222</v>
      </c>
      <c r="E42" s="99" t="s">
        <v>1223</v>
      </c>
      <c r="F42" s="91">
        <v>1167479</v>
      </c>
      <c r="G42" s="92">
        <v>230724.43</v>
      </c>
      <c r="H42" s="93">
        <f t="shared" si="0"/>
        <v>19.762619284800838</v>
      </c>
    </row>
    <row r="43" spans="1:8" ht="24" customHeight="1">
      <c r="A43" s="83" t="s">
        <v>1044</v>
      </c>
      <c r="B43" s="83" t="s">
        <v>10</v>
      </c>
      <c r="C43" s="83" t="s">
        <v>16</v>
      </c>
      <c r="D43" s="97" t="s">
        <v>5</v>
      </c>
      <c r="E43" s="67" t="s">
        <v>6</v>
      </c>
      <c r="F43" s="91">
        <v>1575</v>
      </c>
      <c r="G43" s="92">
        <v>0</v>
      </c>
      <c r="H43" s="93">
        <f t="shared" si="0"/>
        <v>0</v>
      </c>
    </row>
    <row r="44" spans="1:8" ht="23.25" customHeight="1">
      <c r="A44" s="83" t="s">
        <v>1047</v>
      </c>
      <c r="B44" s="84" t="s">
        <v>18</v>
      </c>
      <c r="C44" s="84"/>
      <c r="D44" s="85"/>
      <c r="E44" s="89" t="s">
        <v>19</v>
      </c>
      <c r="F44" s="87">
        <f aca="true" t="shared" si="1" ref="F44:G46">F45</f>
        <v>100000</v>
      </c>
      <c r="G44" s="101">
        <f t="shared" si="1"/>
        <v>0</v>
      </c>
      <c r="H44" s="88">
        <f t="shared" si="0"/>
        <v>0</v>
      </c>
    </row>
    <row r="45" spans="1:8" ht="26.25" customHeight="1">
      <c r="A45" s="83" t="s">
        <v>1050</v>
      </c>
      <c r="B45" s="83" t="s">
        <v>18</v>
      </c>
      <c r="C45" s="83" t="s">
        <v>1212</v>
      </c>
      <c r="D45" s="85"/>
      <c r="E45" s="67" t="s">
        <v>1213</v>
      </c>
      <c r="F45" s="91">
        <f t="shared" si="1"/>
        <v>100000</v>
      </c>
      <c r="G45" s="101">
        <f t="shared" si="1"/>
        <v>0</v>
      </c>
      <c r="H45" s="88">
        <f t="shared" si="0"/>
        <v>0</v>
      </c>
    </row>
    <row r="46" spans="1:8" ht="31.5">
      <c r="A46" s="83" t="s">
        <v>1053</v>
      </c>
      <c r="B46" s="83" t="s">
        <v>18</v>
      </c>
      <c r="C46" s="83" t="s">
        <v>20</v>
      </c>
      <c r="D46" s="95"/>
      <c r="E46" s="67" t="s">
        <v>21</v>
      </c>
      <c r="F46" s="91">
        <f t="shared" si="1"/>
        <v>100000</v>
      </c>
      <c r="G46" s="92">
        <f t="shared" si="1"/>
        <v>0</v>
      </c>
      <c r="H46" s="93">
        <f t="shared" si="0"/>
        <v>0</v>
      </c>
    </row>
    <row r="47" spans="1:8" ht="21" customHeight="1">
      <c r="A47" s="83" t="s">
        <v>1056</v>
      </c>
      <c r="B47" s="83" t="s">
        <v>18</v>
      </c>
      <c r="C47" s="83" t="s">
        <v>20</v>
      </c>
      <c r="D47" s="95" t="s">
        <v>22</v>
      </c>
      <c r="E47" s="67" t="s">
        <v>23</v>
      </c>
      <c r="F47" s="91">
        <v>100000</v>
      </c>
      <c r="G47" s="92">
        <v>0</v>
      </c>
      <c r="H47" s="93">
        <f t="shared" si="0"/>
        <v>0</v>
      </c>
    </row>
    <row r="48" spans="1:8" ht="25.5" customHeight="1">
      <c r="A48" s="83" t="s">
        <v>1059</v>
      </c>
      <c r="B48" s="84" t="s">
        <v>24</v>
      </c>
      <c r="C48" s="84"/>
      <c r="D48" s="85"/>
      <c r="E48" s="89" t="s">
        <v>25</v>
      </c>
      <c r="F48" s="87">
        <f>F49+F59</f>
        <v>7866465</v>
      </c>
      <c r="G48" s="87">
        <f>G49+G59</f>
        <v>3494967.6499999994</v>
      </c>
      <c r="H48" s="88">
        <f t="shared" si="0"/>
        <v>44.42869382880366</v>
      </c>
    </row>
    <row r="49" spans="1:8" ht="63">
      <c r="A49" s="83" t="s">
        <v>1062</v>
      </c>
      <c r="B49" s="83" t="s">
        <v>24</v>
      </c>
      <c r="C49" s="83" t="s">
        <v>26</v>
      </c>
      <c r="D49" s="95"/>
      <c r="E49" s="67" t="s">
        <v>27</v>
      </c>
      <c r="F49" s="92">
        <f>F50</f>
        <v>663000</v>
      </c>
      <c r="G49" s="92">
        <f>G50</f>
        <v>42793.380000000005</v>
      </c>
      <c r="H49" s="93">
        <f t="shared" si="0"/>
        <v>6.454506787330318</v>
      </c>
    </row>
    <row r="50" spans="1:8" ht="73.5" customHeight="1">
      <c r="A50" s="83" t="s">
        <v>1065</v>
      </c>
      <c r="B50" s="83" t="s">
        <v>24</v>
      </c>
      <c r="C50" s="83" t="s">
        <v>28</v>
      </c>
      <c r="D50" s="95"/>
      <c r="E50" s="67" t="s">
        <v>29</v>
      </c>
      <c r="F50" s="98">
        <f>F51+F53+F55+F57</f>
        <v>663000</v>
      </c>
      <c r="G50" s="98">
        <f>G51+G53+G55+G57</f>
        <v>42793.380000000005</v>
      </c>
      <c r="H50" s="93">
        <f t="shared" si="0"/>
        <v>6.454506787330318</v>
      </c>
    </row>
    <row r="51" spans="1:8" ht="63">
      <c r="A51" s="83" t="s">
        <v>1068</v>
      </c>
      <c r="B51" s="83" t="s">
        <v>24</v>
      </c>
      <c r="C51" s="83" t="s">
        <v>30</v>
      </c>
      <c r="D51" s="95"/>
      <c r="E51" s="67" t="s">
        <v>31</v>
      </c>
      <c r="F51" s="96">
        <f>F52</f>
        <v>100000</v>
      </c>
      <c r="G51" s="98">
        <f>G52</f>
        <v>0</v>
      </c>
      <c r="H51" s="93">
        <f t="shared" si="0"/>
        <v>0</v>
      </c>
    </row>
    <row r="52" spans="1:8" ht="47.25" customHeight="1">
      <c r="A52" s="83" t="s">
        <v>1071</v>
      </c>
      <c r="B52" s="83" t="s">
        <v>24</v>
      </c>
      <c r="C52" s="83" t="s">
        <v>30</v>
      </c>
      <c r="D52" s="95" t="s">
        <v>1222</v>
      </c>
      <c r="E52" s="99" t="s">
        <v>1223</v>
      </c>
      <c r="F52" s="96">
        <v>100000</v>
      </c>
      <c r="G52" s="98">
        <v>0</v>
      </c>
      <c r="H52" s="93">
        <f t="shared" si="0"/>
        <v>0</v>
      </c>
    </row>
    <row r="53" spans="1:8" ht="30" customHeight="1">
      <c r="A53" s="83" t="s">
        <v>1073</v>
      </c>
      <c r="B53" s="83" t="s">
        <v>24</v>
      </c>
      <c r="C53" s="83" t="s">
        <v>32</v>
      </c>
      <c r="D53" s="95"/>
      <c r="E53" s="67" t="s">
        <v>33</v>
      </c>
      <c r="F53" s="96">
        <f>100000-28000</f>
        <v>72000</v>
      </c>
      <c r="G53" s="98">
        <f>G54</f>
        <v>0</v>
      </c>
      <c r="H53" s="93">
        <f t="shared" si="0"/>
        <v>0</v>
      </c>
    </row>
    <row r="54" spans="1:8" ht="51" customHeight="1">
      <c r="A54" s="83" t="s">
        <v>1075</v>
      </c>
      <c r="B54" s="83" t="s">
        <v>24</v>
      </c>
      <c r="C54" s="83" t="s">
        <v>32</v>
      </c>
      <c r="D54" s="95" t="s">
        <v>1222</v>
      </c>
      <c r="E54" s="99" t="s">
        <v>1223</v>
      </c>
      <c r="F54" s="96">
        <v>72000</v>
      </c>
      <c r="G54" s="98">
        <v>0</v>
      </c>
      <c r="H54" s="93">
        <f t="shared" si="0"/>
        <v>0</v>
      </c>
    </row>
    <row r="55" spans="1:8" ht="20.25" customHeight="1">
      <c r="A55" s="83" t="s">
        <v>1077</v>
      </c>
      <c r="B55" s="83" t="s">
        <v>24</v>
      </c>
      <c r="C55" s="83" t="s">
        <v>34</v>
      </c>
      <c r="D55" s="95"/>
      <c r="E55" s="67" t="s">
        <v>35</v>
      </c>
      <c r="F55" s="96">
        <f>463000-5434</f>
        <v>457566</v>
      </c>
      <c r="G55" s="98">
        <f>G56</f>
        <v>37359.83</v>
      </c>
      <c r="H55" s="93">
        <f t="shared" si="0"/>
        <v>8.164905172150029</v>
      </c>
    </row>
    <row r="56" spans="1:8" ht="45" customHeight="1">
      <c r="A56" s="83" t="s">
        <v>1079</v>
      </c>
      <c r="B56" s="83" t="s">
        <v>24</v>
      </c>
      <c r="C56" s="83" t="s">
        <v>34</v>
      </c>
      <c r="D56" s="95" t="s">
        <v>1222</v>
      </c>
      <c r="E56" s="99" t="s">
        <v>1223</v>
      </c>
      <c r="F56" s="96">
        <v>457566</v>
      </c>
      <c r="G56" s="98">
        <v>37359.83</v>
      </c>
      <c r="H56" s="93">
        <f t="shared" si="0"/>
        <v>8.164905172150029</v>
      </c>
    </row>
    <row r="57" spans="1:8" ht="32.25" customHeight="1">
      <c r="A57" s="83" t="s">
        <v>1082</v>
      </c>
      <c r="B57" s="83" t="s">
        <v>24</v>
      </c>
      <c r="C57" s="83" t="s">
        <v>36</v>
      </c>
      <c r="D57" s="95"/>
      <c r="E57" s="99" t="s">
        <v>7</v>
      </c>
      <c r="F57" s="96">
        <f>5434+28000</f>
        <v>33434</v>
      </c>
      <c r="G57" s="98">
        <f>G58</f>
        <v>5433.55</v>
      </c>
      <c r="H57" s="93">
        <f t="shared" si="0"/>
        <v>16.251570257821378</v>
      </c>
    </row>
    <row r="58" spans="1:8" ht="49.5" customHeight="1">
      <c r="A58" s="83" t="s">
        <v>1085</v>
      </c>
      <c r="B58" s="83" t="s">
        <v>24</v>
      </c>
      <c r="C58" s="83" t="s">
        <v>36</v>
      </c>
      <c r="D58" s="95" t="s">
        <v>1222</v>
      </c>
      <c r="E58" s="99" t="s">
        <v>1223</v>
      </c>
      <c r="F58" s="91">
        <v>33434</v>
      </c>
      <c r="G58" s="98">
        <v>5433.55</v>
      </c>
      <c r="H58" s="93">
        <f t="shared" si="0"/>
        <v>16.251570257821378</v>
      </c>
    </row>
    <row r="59" spans="1:8" ht="30.75" customHeight="1">
      <c r="A59" s="83" t="s">
        <v>1088</v>
      </c>
      <c r="B59" s="83" t="s">
        <v>24</v>
      </c>
      <c r="C59" s="83" t="s">
        <v>37</v>
      </c>
      <c r="D59" s="95"/>
      <c r="E59" s="67" t="s">
        <v>38</v>
      </c>
      <c r="F59" s="96">
        <f>F60+F63+F69+F72</f>
        <v>7203465</v>
      </c>
      <c r="G59" s="92">
        <f>G60+G63+G69+G72</f>
        <v>3452174.2699999996</v>
      </c>
      <c r="H59" s="93">
        <f t="shared" si="0"/>
        <v>47.92380153162401</v>
      </c>
    </row>
    <row r="60" spans="1:8" ht="34.5" customHeight="1">
      <c r="A60" s="83" t="s">
        <v>1090</v>
      </c>
      <c r="B60" s="83" t="s">
        <v>24</v>
      </c>
      <c r="C60" s="83" t="s">
        <v>39</v>
      </c>
      <c r="D60" s="95"/>
      <c r="E60" s="67" t="s">
        <v>40</v>
      </c>
      <c r="F60" s="91">
        <f>F61</f>
        <v>50000</v>
      </c>
      <c r="G60" s="98">
        <f>G61</f>
        <v>0</v>
      </c>
      <c r="H60" s="93">
        <f t="shared" si="0"/>
        <v>0</v>
      </c>
    </row>
    <row r="61" spans="1:8" ht="31.5" customHeight="1">
      <c r="A61" s="83" t="s">
        <v>1093</v>
      </c>
      <c r="B61" s="83" t="s">
        <v>24</v>
      </c>
      <c r="C61" s="83" t="s">
        <v>41</v>
      </c>
      <c r="D61" s="85"/>
      <c r="E61" s="67" t="s">
        <v>42</v>
      </c>
      <c r="F61" s="96">
        <v>50000</v>
      </c>
      <c r="G61" s="92">
        <f>G62</f>
        <v>0</v>
      </c>
      <c r="H61" s="93">
        <f t="shared" si="0"/>
        <v>0</v>
      </c>
    </row>
    <row r="62" spans="1:8" ht="21" customHeight="1">
      <c r="A62" s="83" t="s">
        <v>1096</v>
      </c>
      <c r="B62" s="83" t="s">
        <v>24</v>
      </c>
      <c r="C62" s="83" t="s">
        <v>41</v>
      </c>
      <c r="D62" s="95" t="s">
        <v>5</v>
      </c>
      <c r="E62" s="67" t="s">
        <v>6</v>
      </c>
      <c r="F62" s="96">
        <v>50000</v>
      </c>
      <c r="G62" s="98">
        <v>0</v>
      </c>
      <c r="H62" s="93">
        <f t="shared" si="0"/>
        <v>0</v>
      </c>
    </row>
    <row r="63" spans="1:8" ht="36.75" customHeight="1">
      <c r="A63" s="83" t="s">
        <v>1099</v>
      </c>
      <c r="B63" s="83" t="s">
        <v>24</v>
      </c>
      <c r="C63" s="83" t="s">
        <v>43</v>
      </c>
      <c r="D63" s="95"/>
      <c r="E63" s="67" t="s">
        <v>44</v>
      </c>
      <c r="F63" s="98">
        <f>F64+F66</f>
        <v>92000</v>
      </c>
      <c r="G63" s="98">
        <f>G64+G66</f>
        <v>45214.44</v>
      </c>
      <c r="H63" s="93">
        <f t="shared" si="0"/>
        <v>49.146130434782606</v>
      </c>
    </row>
    <row r="64" spans="1:8" ht="36.75" customHeight="1">
      <c r="A64" s="83" t="s">
        <v>1102</v>
      </c>
      <c r="B64" s="83" t="s">
        <v>24</v>
      </c>
      <c r="C64" s="83" t="s">
        <v>45</v>
      </c>
      <c r="D64" s="95"/>
      <c r="E64" s="67" t="s">
        <v>46</v>
      </c>
      <c r="F64" s="96">
        <v>100</v>
      </c>
      <c r="G64" s="98">
        <f>G65</f>
        <v>100</v>
      </c>
      <c r="H64" s="93">
        <f t="shared" si="0"/>
        <v>100</v>
      </c>
    </row>
    <row r="65" spans="1:8" ht="36.75" customHeight="1">
      <c r="A65" s="83" t="s">
        <v>1104</v>
      </c>
      <c r="B65" s="83" t="s">
        <v>24</v>
      </c>
      <c r="C65" s="83" t="s">
        <v>45</v>
      </c>
      <c r="D65" s="95" t="s">
        <v>1222</v>
      </c>
      <c r="E65" s="99" t="s">
        <v>1223</v>
      </c>
      <c r="F65" s="91">
        <v>100</v>
      </c>
      <c r="G65" s="98">
        <v>100</v>
      </c>
      <c r="H65" s="93">
        <f t="shared" si="0"/>
        <v>100</v>
      </c>
    </row>
    <row r="66" spans="1:8" ht="48" customHeight="1">
      <c r="A66" s="83" t="s">
        <v>1106</v>
      </c>
      <c r="B66" s="83" t="s">
        <v>24</v>
      </c>
      <c r="C66" s="83" t="s">
        <v>47</v>
      </c>
      <c r="D66" s="95"/>
      <c r="E66" s="102" t="s">
        <v>48</v>
      </c>
      <c r="F66" s="92">
        <f>SUM(F67:F68)</f>
        <v>91900</v>
      </c>
      <c r="G66" s="92">
        <f>SUM(G67:G68)</f>
        <v>45114.44</v>
      </c>
      <c r="H66" s="93">
        <f t="shared" si="0"/>
        <v>49.09079434167574</v>
      </c>
    </row>
    <row r="67" spans="1:8" ht="36.75" customHeight="1">
      <c r="A67" s="83" t="s">
        <v>1109</v>
      </c>
      <c r="B67" s="83" t="s">
        <v>24</v>
      </c>
      <c r="C67" s="83" t="s">
        <v>47</v>
      </c>
      <c r="D67" s="95" t="s">
        <v>1216</v>
      </c>
      <c r="E67" s="67" t="s">
        <v>1217</v>
      </c>
      <c r="F67" s="96">
        <v>83530</v>
      </c>
      <c r="G67" s="92">
        <v>36744.44</v>
      </c>
      <c r="H67" s="93">
        <f t="shared" si="0"/>
        <v>43.98951274991021</v>
      </c>
    </row>
    <row r="68" spans="1:8" ht="36.75" customHeight="1">
      <c r="A68" s="83" t="s">
        <v>1112</v>
      </c>
      <c r="B68" s="83" t="s">
        <v>24</v>
      </c>
      <c r="C68" s="83" t="s">
        <v>47</v>
      </c>
      <c r="D68" s="95" t="s">
        <v>1222</v>
      </c>
      <c r="E68" s="99" t="s">
        <v>1223</v>
      </c>
      <c r="F68" s="91">
        <v>8370</v>
      </c>
      <c r="G68" s="98">
        <v>8370</v>
      </c>
      <c r="H68" s="93">
        <f t="shared" si="0"/>
        <v>100</v>
      </c>
    </row>
    <row r="69" spans="1:8" ht="32.25" customHeight="1">
      <c r="A69" s="83" t="s">
        <v>1115</v>
      </c>
      <c r="B69" s="83" t="s">
        <v>24</v>
      </c>
      <c r="C69" s="83" t="s">
        <v>49</v>
      </c>
      <c r="D69" s="95"/>
      <c r="E69" s="67" t="s">
        <v>50</v>
      </c>
      <c r="F69" s="91">
        <f>F70</f>
        <v>3474526</v>
      </c>
      <c r="G69" s="92">
        <f>G70</f>
        <v>1951750.97</v>
      </c>
      <c r="H69" s="93">
        <f t="shared" si="0"/>
        <v>56.17315771993072</v>
      </c>
    </row>
    <row r="70" spans="1:8" ht="30.75" customHeight="1">
      <c r="A70" s="83" t="s">
        <v>1118</v>
      </c>
      <c r="B70" s="83" t="s">
        <v>24</v>
      </c>
      <c r="C70" s="83" t="s">
        <v>51</v>
      </c>
      <c r="D70" s="103"/>
      <c r="E70" s="67" t="s">
        <v>52</v>
      </c>
      <c r="F70" s="96">
        <v>3474526</v>
      </c>
      <c r="G70" s="92">
        <f>G71</f>
        <v>1951750.97</v>
      </c>
      <c r="H70" s="93">
        <f t="shared" si="0"/>
        <v>56.17315771993072</v>
      </c>
    </row>
    <row r="71" spans="1:8" ht="40.5" customHeight="1">
      <c r="A71" s="83" t="s">
        <v>1121</v>
      </c>
      <c r="B71" s="83" t="s">
        <v>24</v>
      </c>
      <c r="C71" s="83" t="s">
        <v>51</v>
      </c>
      <c r="D71" s="95" t="s">
        <v>1228</v>
      </c>
      <c r="E71" s="99" t="s">
        <v>0</v>
      </c>
      <c r="F71" s="91">
        <v>3474526</v>
      </c>
      <c r="G71" s="98">
        <v>1951750.97</v>
      </c>
      <c r="H71" s="93">
        <f aca="true" t="shared" si="2" ref="H71:H134">G71/F71*100</f>
        <v>56.17315771993072</v>
      </c>
    </row>
    <row r="72" spans="1:8" ht="36.75" customHeight="1">
      <c r="A72" s="83" t="s">
        <v>1123</v>
      </c>
      <c r="B72" s="83" t="s">
        <v>24</v>
      </c>
      <c r="C72" s="83" t="s">
        <v>53</v>
      </c>
      <c r="D72" s="95"/>
      <c r="E72" s="67" t="s">
        <v>54</v>
      </c>
      <c r="F72" s="96">
        <f>F73+F77+F82+F84</f>
        <v>3586939</v>
      </c>
      <c r="G72" s="92">
        <f>G73+G77+G84</f>
        <v>1455208.8599999999</v>
      </c>
      <c r="H72" s="93">
        <f t="shared" si="2"/>
        <v>40.569657303901735</v>
      </c>
    </row>
    <row r="73" spans="1:8" ht="39" customHeight="1">
      <c r="A73" s="83" t="s">
        <v>1125</v>
      </c>
      <c r="B73" s="83" t="s">
        <v>24</v>
      </c>
      <c r="C73" s="83" t="s">
        <v>55</v>
      </c>
      <c r="D73" s="95"/>
      <c r="E73" s="67" t="s">
        <v>56</v>
      </c>
      <c r="F73" s="96">
        <f>F74+F75+F76</f>
        <v>1008968</v>
      </c>
      <c r="G73" s="96">
        <f>G74+G75+G76</f>
        <v>430583.27</v>
      </c>
      <c r="H73" s="93">
        <f t="shared" si="2"/>
        <v>42.67561211059221</v>
      </c>
    </row>
    <row r="74" spans="1:8" s="90" customFormat="1" ht="31.5">
      <c r="A74" s="83" t="s">
        <v>1127</v>
      </c>
      <c r="B74" s="83" t="s">
        <v>24</v>
      </c>
      <c r="C74" s="83" t="s">
        <v>55</v>
      </c>
      <c r="D74" s="95" t="s">
        <v>57</v>
      </c>
      <c r="E74" s="67" t="s">
        <v>58</v>
      </c>
      <c r="F74" s="96">
        <v>736577</v>
      </c>
      <c r="G74" s="98">
        <v>325530.68</v>
      </c>
      <c r="H74" s="93">
        <f t="shared" si="2"/>
        <v>44.19506446712292</v>
      </c>
    </row>
    <row r="75" spans="1:8" ht="48.75" customHeight="1">
      <c r="A75" s="83" t="s">
        <v>1130</v>
      </c>
      <c r="B75" s="83" t="s">
        <v>24</v>
      </c>
      <c r="C75" s="83" t="s">
        <v>55</v>
      </c>
      <c r="D75" s="95" t="s">
        <v>1222</v>
      </c>
      <c r="E75" s="67" t="s">
        <v>1223</v>
      </c>
      <c r="F75" s="96">
        <v>272188</v>
      </c>
      <c r="G75" s="98">
        <v>105015.59</v>
      </c>
      <c r="H75" s="93">
        <f t="shared" si="2"/>
        <v>38.5820058195071</v>
      </c>
    </row>
    <row r="76" spans="1:8" ht="15.75">
      <c r="A76" s="83" t="s">
        <v>1133</v>
      </c>
      <c r="B76" s="83" t="s">
        <v>24</v>
      </c>
      <c r="C76" s="83" t="s">
        <v>55</v>
      </c>
      <c r="D76" s="95" t="s">
        <v>5</v>
      </c>
      <c r="E76" s="67" t="s">
        <v>59</v>
      </c>
      <c r="F76" s="96">
        <v>203</v>
      </c>
      <c r="G76" s="98">
        <v>37</v>
      </c>
      <c r="H76" s="93">
        <f t="shared" si="2"/>
        <v>18.226600985221676</v>
      </c>
    </row>
    <row r="77" spans="1:8" s="90" customFormat="1" ht="31.5">
      <c r="A77" s="83" t="s">
        <v>1136</v>
      </c>
      <c r="B77" s="83" t="s">
        <v>24</v>
      </c>
      <c r="C77" s="83" t="s">
        <v>60</v>
      </c>
      <c r="D77" s="95"/>
      <c r="E77" s="104" t="s">
        <v>61</v>
      </c>
      <c r="F77" s="96">
        <f>F78+F79+F80+F81</f>
        <v>2341499</v>
      </c>
      <c r="G77" s="96">
        <f>G78+G79+G80+G81</f>
        <v>908516.34</v>
      </c>
      <c r="H77" s="93">
        <f t="shared" si="2"/>
        <v>38.80062899877386</v>
      </c>
    </row>
    <row r="78" spans="1:8" s="90" customFormat="1" ht="31.5">
      <c r="A78" s="83" t="s">
        <v>1139</v>
      </c>
      <c r="B78" s="83" t="s">
        <v>24</v>
      </c>
      <c r="C78" s="83" t="s">
        <v>60</v>
      </c>
      <c r="D78" s="95" t="s">
        <v>57</v>
      </c>
      <c r="E78" s="67" t="s">
        <v>58</v>
      </c>
      <c r="F78" s="96">
        <v>1231760.96</v>
      </c>
      <c r="G78" s="98">
        <v>0</v>
      </c>
      <c r="H78" s="93">
        <f t="shared" si="2"/>
        <v>0</v>
      </c>
    </row>
    <row r="79" spans="1:8" s="90" customFormat="1" ht="47.25">
      <c r="A79" s="83" t="s">
        <v>1142</v>
      </c>
      <c r="B79" s="83" t="s">
        <v>24</v>
      </c>
      <c r="C79" s="83" t="s">
        <v>60</v>
      </c>
      <c r="D79" s="95" t="s">
        <v>1216</v>
      </c>
      <c r="E79" s="67" t="s">
        <v>1217</v>
      </c>
      <c r="F79" s="96">
        <v>12.7</v>
      </c>
      <c r="G79" s="98">
        <v>0</v>
      </c>
      <c r="H79" s="93">
        <f t="shared" si="2"/>
        <v>0</v>
      </c>
    </row>
    <row r="80" spans="1:8" s="90" customFormat="1" ht="63">
      <c r="A80" s="83" t="s">
        <v>1145</v>
      </c>
      <c r="B80" s="83" t="s">
        <v>24</v>
      </c>
      <c r="C80" s="83" t="s">
        <v>60</v>
      </c>
      <c r="D80" s="95" t="s">
        <v>1222</v>
      </c>
      <c r="E80" s="67" t="s">
        <v>1223</v>
      </c>
      <c r="F80" s="96">
        <v>201209</v>
      </c>
      <c r="G80" s="98">
        <v>0</v>
      </c>
      <c r="H80" s="93">
        <f t="shared" si="2"/>
        <v>0</v>
      </c>
    </row>
    <row r="81" spans="1:8" ht="24" customHeight="1">
      <c r="A81" s="83" t="s">
        <v>1146</v>
      </c>
      <c r="B81" s="83" t="s">
        <v>24</v>
      </c>
      <c r="C81" s="83" t="s">
        <v>60</v>
      </c>
      <c r="D81" s="95" t="s">
        <v>62</v>
      </c>
      <c r="E81" s="67" t="s">
        <v>63</v>
      </c>
      <c r="F81" s="96">
        <v>908516.34</v>
      </c>
      <c r="G81" s="98">
        <v>908516.34</v>
      </c>
      <c r="H81" s="93">
        <f t="shared" si="2"/>
        <v>100</v>
      </c>
    </row>
    <row r="82" spans="1:8" ht="38.25" customHeight="1">
      <c r="A82" s="83" t="s">
        <v>1148</v>
      </c>
      <c r="B82" s="83" t="s">
        <v>24</v>
      </c>
      <c r="C82" s="83" t="s">
        <v>64</v>
      </c>
      <c r="D82" s="95"/>
      <c r="E82" s="99" t="s">
        <v>7</v>
      </c>
      <c r="F82" s="96">
        <f>F83</f>
        <v>472</v>
      </c>
      <c r="G82" s="96">
        <f>G83</f>
        <v>0</v>
      </c>
      <c r="H82" s="93">
        <f t="shared" si="2"/>
        <v>0</v>
      </c>
    </row>
    <row r="83" spans="1:8" ht="38.25" customHeight="1">
      <c r="A83" s="83" t="s">
        <v>1150</v>
      </c>
      <c r="B83" s="83" t="s">
        <v>24</v>
      </c>
      <c r="C83" s="83" t="s">
        <v>64</v>
      </c>
      <c r="D83" s="95" t="s">
        <v>1222</v>
      </c>
      <c r="E83" s="67" t="s">
        <v>1223</v>
      </c>
      <c r="F83" s="96">
        <v>472</v>
      </c>
      <c r="G83" s="98">
        <v>0</v>
      </c>
      <c r="H83" s="93">
        <f t="shared" si="2"/>
        <v>0</v>
      </c>
    </row>
    <row r="84" spans="1:8" ht="102" customHeight="1">
      <c r="A84" s="83" t="s">
        <v>1152</v>
      </c>
      <c r="B84" s="83" t="s">
        <v>24</v>
      </c>
      <c r="C84" s="83" t="s">
        <v>65</v>
      </c>
      <c r="D84" s="95"/>
      <c r="E84" s="67" t="s">
        <v>66</v>
      </c>
      <c r="F84" s="91">
        <f>F85</f>
        <v>236000</v>
      </c>
      <c r="G84" s="92">
        <f>SUM(G85:G85)</f>
        <v>116109.25</v>
      </c>
      <c r="H84" s="93">
        <f t="shared" si="2"/>
        <v>49.19883474576271</v>
      </c>
    </row>
    <row r="85" spans="1:8" ht="36.75" customHeight="1">
      <c r="A85" s="83" t="s">
        <v>1155</v>
      </c>
      <c r="B85" s="83" t="s">
        <v>24</v>
      </c>
      <c r="C85" s="83" t="s">
        <v>65</v>
      </c>
      <c r="D85" s="95" t="s">
        <v>1222</v>
      </c>
      <c r="E85" s="67" t="s">
        <v>58</v>
      </c>
      <c r="F85" s="91">
        <v>236000</v>
      </c>
      <c r="G85" s="92">
        <v>116109.25</v>
      </c>
      <c r="H85" s="93">
        <f t="shared" si="2"/>
        <v>49.19883474576271</v>
      </c>
    </row>
    <row r="86" spans="1:8" ht="21" customHeight="1">
      <c r="A86" s="83" t="s">
        <v>1158</v>
      </c>
      <c r="B86" s="84" t="s">
        <v>67</v>
      </c>
      <c r="C86" s="84"/>
      <c r="D86" s="85"/>
      <c r="E86" s="89" t="s">
        <v>68</v>
      </c>
      <c r="F86" s="87">
        <f aca="true" t="shared" si="3" ref="F86:G88">F87</f>
        <v>869700</v>
      </c>
      <c r="G86" s="105">
        <f t="shared" si="3"/>
        <v>390627.26</v>
      </c>
      <c r="H86" s="88">
        <f t="shared" si="2"/>
        <v>44.91517304817753</v>
      </c>
    </row>
    <row r="87" spans="1:8" ht="16.5" customHeight="1">
      <c r="A87" s="83" t="s">
        <v>1160</v>
      </c>
      <c r="B87" s="84" t="s">
        <v>69</v>
      </c>
      <c r="C87" s="84"/>
      <c r="D87" s="85"/>
      <c r="E87" s="89" t="s">
        <v>70</v>
      </c>
      <c r="F87" s="106">
        <f t="shared" si="3"/>
        <v>869700</v>
      </c>
      <c r="G87" s="105">
        <f t="shared" si="3"/>
        <v>390627.26</v>
      </c>
      <c r="H87" s="88">
        <f t="shared" si="2"/>
        <v>44.91517304817753</v>
      </c>
    </row>
    <row r="88" spans="1:8" ht="15.75">
      <c r="A88" s="83" t="s">
        <v>1163</v>
      </c>
      <c r="B88" s="83" t="s">
        <v>69</v>
      </c>
      <c r="C88" s="83" t="s">
        <v>1212</v>
      </c>
      <c r="D88" s="95"/>
      <c r="E88" s="67" t="s">
        <v>1213</v>
      </c>
      <c r="F88" s="107">
        <f t="shared" si="3"/>
        <v>869700</v>
      </c>
      <c r="G88" s="108">
        <f t="shared" si="3"/>
        <v>390627.26</v>
      </c>
      <c r="H88" s="93">
        <f t="shared" si="2"/>
        <v>44.91517304817753</v>
      </c>
    </row>
    <row r="89" spans="1:8" s="90" customFormat="1" ht="51" customHeight="1">
      <c r="A89" s="83" t="s">
        <v>1166</v>
      </c>
      <c r="B89" s="83" t="s">
        <v>69</v>
      </c>
      <c r="C89" s="83" t="s">
        <v>71</v>
      </c>
      <c r="D89" s="95"/>
      <c r="E89" s="67" t="s">
        <v>72</v>
      </c>
      <c r="F89" s="109">
        <f>F90+F91</f>
        <v>869700</v>
      </c>
      <c r="G89" s="110">
        <f>G90+G91</f>
        <v>390627.26</v>
      </c>
      <c r="H89" s="93">
        <f t="shared" si="2"/>
        <v>44.91517304817753</v>
      </c>
    </row>
    <row r="90" spans="1:8" s="90" customFormat="1" ht="33.75" customHeight="1">
      <c r="A90" s="83" t="s">
        <v>1169</v>
      </c>
      <c r="B90" s="83" t="s">
        <v>69</v>
      </c>
      <c r="C90" s="83" t="s">
        <v>71</v>
      </c>
      <c r="D90" s="95" t="s">
        <v>1216</v>
      </c>
      <c r="E90" s="67" t="s">
        <v>1217</v>
      </c>
      <c r="F90" s="109">
        <v>715940</v>
      </c>
      <c r="G90" s="110">
        <v>320012.94</v>
      </c>
      <c r="H90" s="93">
        <f t="shared" si="2"/>
        <v>44.698290359527334</v>
      </c>
    </row>
    <row r="91" spans="1:8" s="90" customFormat="1" ht="33.75" customHeight="1">
      <c r="A91" s="83" t="s">
        <v>1172</v>
      </c>
      <c r="B91" s="83" t="s">
        <v>69</v>
      </c>
      <c r="C91" s="83" t="s">
        <v>71</v>
      </c>
      <c r="D91" s="95" t="s">
        <v>1222</v>
      </c>
      <c r="E91" s="67" t="s">
        <v>1223</v>
      </c>
      <c r="F91" s="109">
        <v>153760</v>
      </c>
      <c r="G91" s="110">
        <v>70614.32</v>
      </c>
      <c r="H91" s="93">
        <f t="shared" si="2"/>
        <v>45.92502601456817</v>
      </c>
    </row>
    <row r="92" spans="1:8" s="90" customFormat="1" ht="36" customHeight="1">
      <c r="A92" s="83" t="s">
        <v>1175</v>
      </c>
      <c r="B92" s="84" t="s">
        <v>73</v>
      </c>
      <c r="C92" s="84"/>
      <c r="D92" s="85"/>
      <c r="E92" s="89" t="s">
        <v>74</v>
      </c>
      <c r="F92" s="87">
        <f>F93+F106+F114</f>
        <v>6494780</v>
      </c>
      <c r="G92" s="87">
        <f>G93+G106+G114</f>
        <v>2927084.3099999996</v>
      </c>
      <c r="H92" s="88">
        <f t="shared" si="2"/>
        <v>45.068259586929805</v>
      </c>
    </row>
    <row r="93" spans="1:8" s="90" customFormat="1" ht="47.25">
      <c r="A93" s="83" t="s">
        <v>1178</v>
      </c>
      <c r="B93" s="84" t="s">
        <v>75</v>
      </c>
      <c r="C93" s="84"/>
      <c r="D93" s="85"/>
      <c r="E93" s="89" t="s">
        <v>76</v>
      </c>
      <c r="F93" s="87">
        <f>F94</f>
        <v>5355007</v>
      </c>
      <c r="G93" s="87">
        <f>G94</f>
        <v>2641711.8</v>
      </c>
      <c r="H93" s="88">
        <f t="shared" si="2"/>
        <v>49.331621788729684</v>
      </c>
    </row>
    <row r="94" spans="1:8" s="90" customFormat="1" ht="110.25">
      <c r="A94" s="83" t="s">
        <v>1181</v>
      </c>
      <c r="B94" s="83" t="s">
        <v>75</v>
      </c>
      <c r="C94" s="83" t="s">
        <v>77</v>
      </c>
      <c r="D94" s="95"/>
      <c r="E94" s="67" t="s">
        <v>78</v>
      </c>
      <c r="F94" s="91">
        <f>F95</f>
        <v>5355007</v>
      </c>
      <c r="G94" s="92">
        <f>G95</f>
        <v>2641711.8</v>
      </c>
      <c r="H94" s="93">
        <f t="shared" si="2"/>
        <v>49.331621788729684</v>
      </c>
    </row>
    <row r="95" spans="1:8" s="90" customFormat="1" ht="63.75" customHeight="1">
      <c r="A95" s="83" t="s">
        <v>1183</v>
      </c>
      <c r="B95" s="83" t="s">
        <v>75</v>
      </c>
      <c r="C95" s="83" t="s">
        <v>79</v>
      </c>
      <c r="D95" s="95"/>
      <c r="E95" s="67" t="s">
        <v>80</v>
      </c>
      <c r="F95" s="96">
        <f>F96+F98+F100+F104</f>
        <v>5355007</v>
      </c>
      <c r="G95" s="98">
        <f>G96+G98+G100+G104</f>
        <v>2641711.8</v>
      </c>
      <c r="H95" s="93">
        <f t="shared" si="2"/>
        <v>49.331621788729684</v>
      </c>
    </row>
    <row r="96" spans="1:8" s="90" customFormat="1" ht="67.5" customHeight="1">
      <c r="A96" s="83" t="s">
        <v>1186</v>
      </c>
      <c r="B96" s="83" t="s">
        <v>75</v>
      </c>
      <c r="C96" s="83" t="s">
        <v>81</v>
      </c>
      <c r="D96" s="95"/>
      <c r="E96" s="104" t="s">
        <v>82</v>
      </c>
      <c r="F96" s="96">
        <f>F97</f>
        <v>228557</v>
      </c>
      <c r="G96" s="98">
        <f>G97</f>
        <v>27872.21</v>
      </c>
      <c r="H96" s="93">
        <f t="shared" si="2"/>
        <v>12.194861675643274</v>
      </c>
    </row>
    <row r="97" spans="1:8" s="90" customFormat="1" ht="48.75" customHeight="1">
      <c r="A97" s="83" t="s">
        <v>1189</v>
      </c>
      <c r="B97" s="83" t="s">
        <v>75</v>
      </c>
      <c r="C97" s="83" t="s">
        <v>81</v>
      </c>
      <c r="D97" s="95" t="s">
        <v>1222</v>
      </c>
      <c r="E97" s="67" t="s">
        <v>1223</v>
      </c>
      <c r="F97" s="96">
        <v>228557</v>
      </c>
      <c r="G97" s="98">
        <v>27872.21</v>
      </c>
      <c r="H97" s="93">
        <f t="shared" si="2"/>
        <v>12.194861675643274</v>
      </c>
    </row>
    <row r="98" spans="1:8" s="90" customFormat="1" ht="47.25">
      <c r="A98" s="83" t="s">
        <v>1191</v>
      </c>
      <c r="B98" s="83" t="s">
        <v>75</v>
      </c>
      <c r="C98" s="83" t="s">
        <v>83</v>
      </c>
      <c r="D98" s="95"/>
      <c r="E98" s="104" t="s">
        <v>84</v>
      </c>
      <c r="F98" s="96">
        <f>F99</f>
        <v>8610</v>
      </c>
      <c r="G98" s="98">
        <f>G99</f>
        <v>0</v>
      </c>
      <c r="H98" s="93">
        <f t="shared" si="2"/>
        <v>0</v>
      </c>
    </row>
    <row r="99" spans="1:8" s="90" customFormat="1" ht="52.5" customHeight="1">
      <c r="A99" s="83" t="s">
        <v>85</v>
      </c>
      <c r="B99" s="83" t="s">
        <v>75</v>
      </c>
      <c r="C99" s="83" t="s">
        <v>83</v>
      </c>
      <c r="D99" s="95" t="s">
        <v>1222</v>
      </c>
      <c r="E99" s="67" t="s">
        <v>1223</v>
      </c>
      <c r="F99" s="96">
        <v>8610</v>
      </c>
      <c r="G99" s="98">
        <v>0</v>
      </c>
      <c r="H99" s="93">
        <f t="shared" si="2"/>
        <v>0</v>
      </c>
    </row>
    <row r="100" spans="1:8" s="90" customFormat="1" ht="24.75" customHeight="1">
      <c r="A100" s="83" t="s">
        <v>86</v>
      </c>
      <c r="B100" s="83" t="s">
        <v>75</v>
      </c>
      <c r="C100" s="83" t="s">
        <v>87</v>
      </c>
      <c r="D100" s="95"/>
      <c r="E100" s="67" t="s">
        <v>88</v>
      </c>
      <c r="F100" s="96">
        <f>SUM(F101:F103)</f>
        <v>5012752</v>
      </c>
      <c r="G100" s="96">
        <f>SUM(G101:G103)</f>
        <v>2508752.76</v>
      </c>
      <c r="H100" s="93">
        <f t="shared" si="2"/>
        <v>50.04741427463397</v>
      </c>
    </row>
    <row r="101" spans="1:8" s="90" customFormat="1" ht="36" customHeight="1">
      <c r="A101" s="83" t="s">
        <v>89</v>
      </c>
      <c r="B101" s="83" t="s">
        <v>75</v>
      </c>
      <c r="C101" s="83" t="s">
        <v>87</v>
      </c>
      <c r="D101" s="95" t="s">
        <v>57</v>
      </c>
      <c r="E101" s="67" t="s">
        <v>58</v>
      </c>
      <c r="F101" s="96">
        <v>3608752</v>
      </c>
      <c r="G101" s="98">
        <v>1745490.64</v>
      </c>
      <c r="H101" s="93">
        <f t="shared" si="2"/>
        <v>48.36826249074472</v>
      </c>
    </row>
    <row r="102" spans="1:8" s="79" customFormat="1" ht="49.5" customHeight="1">
      <c r="A102" s="83" t="s">
        <v>90</v>
      </c>
      <c r="B102" s="83" t="s">
        <v>75</v>
      </c>
      <c r="C102" s="83" t="s">
        <v>87</v>
      </c>
      <c r="D102" s="97" t="s">
        <v>1222</v>
      </c>
      <c r="E102" s="67" t="s">
        <v>1223</v>
      </c>
      <c r="F102" s="96">
        <v>1401204</v>
      </c>
      <c r="G102" s="98">
        <v>762822.12</v>
      </c>
      <c r="H102" s="93">
        <f t="shared" si="2"/>
        <v>54.44047547680423</v>
      </c>
    </row>
    <row r="103" spans="1:8" s="79" customFormat="1" ht="24" customHeight="1">
      <c r="A103" s="83" t="s">
        <v>91</v>
      </c>
      <c r="B103" s="83" t="s">
        <v>75</v>
      </c>
      <c r="C103" s="83" t="s">
        <v>87</v>
      </c>
      <c r="D103" s="97" t="s">
        <v>5</v>
      </c>
      <c r="E103" s="67" t="s">
        <v>92</v>
      </c>
      <c r="F103" s="96">
        <v>2796</v>
      </c>
      <c r="G103" s="98">
        <v>440</v>
      </c>
      <c r="H103" s="93">
        <f t="shared" si="2"/>
        <v>15.736766809728184</v>
      </c>
    </row>
    <row r="104" spans="1:8" s="79" customFormat="1" ht="31.5">
      <c r="A104" s="83" t="s">
        <v>93</v>
      </c>
      <c r="B104" s="83" t="s">
        <v>75</v>
      </c>
      <c r="C104" s="83" t="s">
        <v>94</v>
      </c>
      <c r="D104" s="97"/>
      <c r="E104" s="99" t="s">
        <v>7</v>
      </c>
      <c r="F104" s="96">
        <f>F105</f>
        <v>105088</v>
      </c>
      <c r="G104" s="98">
        <f>G105</f>
        <v>105086.83</v>
      </c>
      <c r="H104" s="93">
        <f t="shared" si="2"/>
        <v>99.99888664738124</v>
      </c>
    </row>
    <row r="105" spans="1:8" s="79" customFormat="1" ht="54" customHeight="1">
      <c r="A105" s="83" t="s">
        <v>95</v>
      </c>
      <c r="B105" s="83" t="s">
        <v>75</v>
      </c>
      <c r="C105" s="83" t="s">
        <v>94</v>
      </c>
      <c r="D105" s="97" t="s">
        <v>1222</v>
      </c>
      <c r="E105" s="67" t="s">
        <v>1223</v>
      </c>
      <c r="F105" s="96">
        <f>4360+1325+12838+86565</f>
        <v>105088</v>
      </c>
      <c r="G105" s="98">
        <v>105086.83</v>
      </c>
      <c r="H105" s="93">
        <f t="shared" si="2"/>
        <v>99.99888664738124</v>
      </c>
    </row>
    <row r="106" spans="1:8" s="79" customFormat="1" ht="22.5" customHeight="1">
      <c r="A106" s="83" t="s">
        <v>96</v>
      </c>
      <c r="B106" s="84" t="s">
        <v>97</v>
      </c>
      <c r="C106" s="84"/>
      <c r="D106" s="85"/>
      <c r="E106" s="89" t="s">
        <v>98</v>
      </c>
      <c r="F106" s="87">
        <f>F107</f>
        <v>788573</v>
      </c>
      <c r="G106" s="101">
        <f>G107</f>
        <v>41775.3</v>
      </c>
      <c r="H106" s="88">
        <f t="shared" si="2"/>
        <v>5.297581834528954</v>
      </c>
    </row>
    <row r="107" spans="1:8" ht="111.75" customHeight="1">
      <c r="A107" s="83" t="s">
        <v>99</v>
      </c>
      <c r="B107" s="83" t="s">
        <v>97</v>
      </c>
      <c r="C107" s="83" t="s">
        <v>77</v>
      </c>
      <c r="D107" s="95"/>
      <c r="E107" s="67" t="s">
        <v>78</v>
      </c>
      <c r="F107" s="91">
        <f>F108</f>
        <v>788573</v>
      </c>
      <c r="G107" s="91">
        <f>G108</f>
        <v>41775.3</v>
      </c>
      <c r="H107" s="93">
        <f t="shared" si="2"/>
        <v>5.297581834528954</v>
      </c>
    </row>
    <row r="108" spans="1:8" ht="52.5" customHeight="1">
      <c r="A108" s="83" t="s">
        <v>100</v>
      </c>
      <c r="B108" s="83" t="s">
        <v>97</v>
      </c>
      <c r="C108" s="83" t="s">
        <v>101</v>
      </c>
      <c r="D108" s="95"/>
      <c r="E108" s="67" t="s">
        <v>102</v>
      </c>
      <c r="F108" s="96">
        <f>F109+F111</f>
        <v>788573</v>
      </c>
      <c r="G108" s="98">
        <f>G109+G111</f>
        <v>41775.3</v>
      </c>
      <c r="H108" s="93">
        <f t="shared" si="2"/>
        <v>5.297581834528954</v>
      </c>
    </row>
    <row r="109" spans="1:8" s="90" customFormat="1" ht="33.75" customHeight="1">
      <c r="A109" s="83" t="s">
        <v>103</v>
      </c>
      <c r="B109" s="83" t="s">
        <v>97</v>
      </c>
      <c r="C109" s="83" t="s">
        <v>104</v>
      </c>
      <c r="D109" s="95"/>
      <c r="E109" s="67" t="s">
        <v>105</v>
      </c>
      <c r="F109" s="96">
        <f>F110</f>
        <v>194929</v>
      </c>
      <c r="G109" s="98">
        <f>G110</f>
        <v>29176.4</v>
      </c>
      <c r="H109" s="93">
        <f t="shared" si="2"/>
        <v>14.96770619045909</v>
      </c>
    </row>
    <row r="110" spans="1:8" ht="53.25" customHeight="1">
      <c r="A110" s="83" t="s">
        <v>106</v>
      </c>
      <c r="B110" s="83" t="s">
        <v>97</v>
      </c>
      <c r="C110" s="83" t="s">
        <v>104</v>
      </c>
      <c r="D110" s="95" t="s">
        <v>1222</v>
      </c>
      <c r="E110" s="67" t="s">
        <v>1223</v>
      </c>
      <c r="F110" s="96">
        <f>325080-130151</f>
        <v>194929</v>
      </c>
      <c r="G110" s="98">
        <v>29176.4</v>
      </c>
      <c r="H110" s="93">
        <f t="shared" si="2"/>
        <v>14.96770619045909</v>
      </c>
    </row>
    <row r="111" spans="1:8" ht="31.5">
      <c r="A111" s="83" t="s">
        <v>107</v>
      </c>
      <c r="B111" s="83" t="s">
        <v>97</v>
      </c>
      <c r="C111" s="83" t="s">
        <v>108</v>
      </c>
      <c r="D111" s="95"/>
      <c r="E111" s="99" t="s">
        <v>7</v>
      </c>
      <c r="F111" s="96">
        <f>F112+F113</f>
        <v>593644</v>
      </c>
      <c r="G111" s="98">
        <f>G112+G113</f>
        <v>12598.9</v>
      </c>
      <c r="H111" s="93">
        <f t="shared" si="2"/>
        <v>2.1222988862011576</v>
      </c>
    </row>
    <row r="112" spans="1:8" s="79" customFormat="1" ht="50.25" customHeight="1">
      <c r="A112" s="83" t="s">
        <v>109</v>
      </c>
      <c r="B112" s="83" t="s">
        <v>97</v>
      </c>
      <c r="C112" s="83" t="s">
        <v>108</v>
      </c>
      <c r="D112" s="95" t="s">
        <v>1222</v>
      </c>
      <c r="E112" s="67" t="s">
        <v>1223</v>
      </c>
      <c r="F112" s="96">
        <f>12599+383047+133998</f>
        <v>529644</v>
      </c>
      <c r="G112" s="98">
        <v>12598.9</v>
      </c>
      <c r="H112" s="93">
        <f t="shared" si="2"/>
        <v>2.3787487444396613</v>
      </c>
    </row>
    <row r="113" spans="1:8" s="79" customFormat="1" ht="15.75">
      <c r="A113" s="83" t="s">
        <v>110</v>
      </c>
      <c r="B113" s="83" t="s">
        <v>97</v>
      </c>
      <c r="C113" s="83" t="s">
        <v>108</v>
      </c>
      <c r="D113" s="95" t="s">
        <v>111</v>
      </c>
      <c r="E113" s="67" t="s">
        <v>112</v>
      </c>
      <c r="F113" s="96">
        <v>64000</v>
      </c>
      <c r="G113" s="98">
        <v>0</v>
      </c>
      <c r="H113" s="93">
        <f t="shared" si="2"/>
        <v>0</v>
      </c>
    </row>
    <row r="114" spans="1:8" ht="50.25" customHeight="1">
      <c r="A114" s="83" t="s">
        <v>113</v>
      </c>
      <c r="B114" s="84" t="s">
        <v>114</v>
      </c>
      <c r="C114" s="83"/>
      <c r="D114" s="95"/>
      <c r="E114" s="111" t="s">
        <v>115</v>
      </c>
      <c r="F114" s="87">
        <f>F115+F122</f>
        <v>351200</v>
      </c>
      <c r="G114" s="101">
        <f>G115+G122</f>
        <v>243597.21000000002</v>
      </c>
      <c r="H114" s="88">
        <f t="shared" si="2"/>
        <v>69.3613923690205</v>
      </c>
    </row>
    <row r="115" spans="1:8" s="79" customFormat="1" ht="51" customHeight="1">
      <c r="A115" s="83" t="s">
        <v>116</v>
      </c>
      <c r="B115" s="83" t="s">
        <v>114</v>
      </c>
      <c r="C115" s="83" t="s">
        <v>117</v>
      </c>
      <c r="D115" s="95"/>
      <c r="E115" s="67" t="s">
        <v>118</v>
      </c>
      <c r="F115" s="91">
        <f>F116+F118+F120</f>
        <v>121200</v>
      </c>
      <c r="G115" s="92">
        <f>G116+G118+G120</f>
        <v>105994.21</v>
      </c>
      <c r="H115" s="93">
        <f t="shared" si="2"/>
        <v>87.4539686468647</v>
      </c>
    </row>
    <row r="116" spans="1:8" s="79" customFormat="1" ht="47.25">
      <c r="A116" s="83" t="s">
        <v>57</v>
      </c>
      <c r="B116" s="83" t="s">
        <v>114</v>
      </c>
      <c r="C116" s="83" t="s">
        <v>119</v>
      </c>
      <c r="D116" s="95"/>
      <c r="E116" s="67" t="s">
        <v>120</v>
      </c>
      <c r="F116" s="91">
        <f>F117</f>
        <v>107700</v>
      </c>
      <c r="G116" s="92">
        <f>G117</f>
        <v>100994.21</v>
      </c>
      <c r="H116" s="93">
        <f t="shared" si="2"/>
        <v>93.77363974001858</v>
      </c>
    </row>
    <row r="117" spans="1:8" s="79" customFormat="1" ht="51.75" customHeight="1">
      <c r="A117" s="83" t="s">
        <v>121</v>
      </c>
      <c r="B117" s="83" t="s">
        <v>114</v>
      </c>
      <c r="C117" s="83" t="s">
        <v>119</v>
      </c>
      <c r="D117" s="95" t="s">
        <v>1222</v>
      </c>
      <c r="E117" s="67" t="s">
        <v>1223</v>
      </c>
      <c r="F117" s="96">
        <v>107700</v>
      </c>
      <c r="G117" s="98">
        <v>100994.21</v>
      </c>
      <c r="H117" s="93">
        <f t="shared" si="2"/>
        <v>93.77363974001858</v>
      </c>
    </row>
    <row r="118" spans="1:8" s="79" customFormat="1" ht="31.5">
      <c r="A118" s="83" t="s">
        <v>122</v>
      </c>
      <c r="B118" s="83" t="s">
        <v>114</v>
      </c>
      <c r="C118" s="83" t="s">
        <v>123</v>
      </c>
      <c r="D118" s="95"/>
      <c r="E118" s="67" t="s">
        <v>124</v>
      </c>
      <c r="F118" s="96">
        <f>F119</f>
        <v>12000</v>
      </c>
      <c r="G118" s="98">
        <f>G119</f>
        <v>5000</v>
      </c>
      <c r="H118" s="93">
        <f t="shared" si="2"/>
        <v>41.66666666666667</v>
      </c>
    </row>
    <row r="119" spans="1:8" s="79" customFormat="1" ht="51.75" customHeight="1">
      <c r="A119" s="83" t="s">
        <v>125</v>
      </c>
      <c r="B119" s="83" t="s">
        <v>114</v>
      </c>
      <c r="C119" s="83" t="s">
        <v>123</v>
      </c>
      <c r="D119" s="95" t="s">
        <v>1222</v>
      </c>
      <c r="E119" s="67" t="s">
        <v>1223</v>
      </c>
      <c r="F119" s="96">
        <v>12000</v>
      </c>
      <c r="G119" s="98">
        <v>5000</v>
      </c>
      <c r="H119" s="93">
        <f t="shared" si="2"/>
        <v>41.66666666666667</v>
      </c>
    </row>
    <row r="120" spans="1:8" s="79" customFormat="1" ht="47.25">
      <c r="A120" s="83" t="s">
        <v>126</v>
      </c>
      <c r="B120" s="83" t="s">
        <v>114</v>
      </c>
      <c r="C120" s="83" t="s">
        <v>127</v>
      </c>
      <c r="D120" s="95"/>
      <c r="E120" s="67" t="s">
        <v>128</v>
      </c>
      <c r="F120" s="96">
        <v>1500</v>
      </c>
      <c r="G120" s="98">
        <v>0</v>
      </c>
      <c r="H120" s="93">
        <f t="shared" si="2"/>
        <v>0</v>
      </c>
    </row>
    <row r="121" spans="1:8" s="79" customFormat="1" ht="49.5" customHeight="1">
      <c r="A121" s="83" t="s">
        <v>129</v>
      </c>
      <c r="B121" s="83" t="s">
        <v>114</v>
      </c>
      <c r="C121" s="83" t="s">
        <v>127</v>
      </c>
      <c r="D121" s="95" t="s">
        <v>1222</v>
      </c>
      <c r="E121" s="67" t="s">
        <v>1223</v>
      </c>
      <c r="F121" s="96">
        <v>1500</v>
      </c>
      <c r="G121" s="98">
        <v>0</v>
      </c>
      <c r="H121" s="93">
        <f t="shared" si="2"/>
        <v>0</v>
      </c>
    </row>
    <row r="122" spans="1:8" s="79" customFormat="1" ht="78.75">
      <c r="A122" s="83" t="s">
        <v>130</v>
      </c>
      <c r="B122" s="83" t="s">
        <v>114</v>
      </c>
      <c r="C122" s="83" t="s">
        <v>131</v>
      </c>
      <c r="D122" s="95"/>
      <c r="E122" s="67" t="s">
        <v>132</v>
      </c>
      <c r="F122" s="96">
        <f>F123</f>
        <v>230000</v>
      </c>
      <c r="G122" s="98">
        <f>G123</f>
        <v>137603</v>
      </c>
      <c r="H122" s="93">
        <f t="shared" si="2"/>
        <v>59.82739130434782</v>
      </c>
    </row>
    <row r="123" spans="1:8" s="79" customFormat="1" ht="78.75">
      <c r="A123" s="83" t="s">
        <v>133</v>
      </c>
      <c r="B123" s="83" t="s">
        <v>114</v>
      </c>
      <c r="C123" s="83" t="s">
        <v>134</v>
      </c>
      <c r="D123" s="95" t="s">
        <v>1222</v>
      </c>
      <c r="E123" s="67" t="s">
        <v>135</v>
      </c>
      <c r="F123" s="96">
        <v>230000</v>
      </c>
      <c r="G123" s="98">
        <v>137603</v>
      </c>
      <c r="H123" s="93">
        <f t="shared" si="2"/>
        <v>59.82739130434782</v>
      </c>
    </row>
    <row r="124" spans="1:8" s="112" customFormat="1" ht="15.75">
      <c r="A124" s="83" t="s">
        <v>136</v>
      </c>
      <c r="B124" s="84" t="s">
        <v>137</v>
      </c>
      <c r="C124" s="84"/>
      <c r="D124" s="85"/>
      <c r="E124" s="89" t="s">
        <v>138</v>
      </c>
      <c r="F124" s="87">
        <f>F125+F129+F136+F141+F164+F184</f>
        <v>27417341</v>
      </c>
      <c r="G124" s="101">
        <f>G136+G185+G125+G165+G129+G141</f>
        <v>4182612.2299999995</v>
      </c>
      <c r="H124" s="88">
        <f t="shared" si="2"/>
        <v>15.255353281705908</v>
      </c>
    </row>
    <row r="125" spans="1:8" s="112" customFormat="1" ht="20.25" customHeight="1">
      <c r="A125" s="83" t="s">
        <v>139</v>
      </c>
      <c r="B125" s="84" t="s">
        <v>140</v>
      </c>
      <c r="C125" s="84"/>
      <c r="D125" s="85"/>
      <c r="E125" s="89" t="s">
        <v>141</v>
      </c>
      <c r="F125" s="87">
        <f aca="true" t="shared" si="4" ref="F125:G127">F126</f>
        <v>53470</v>
      </c>
      <c r="G125" s="101">
        <f t="shared" si="4"/>
        <v>0</v>
      </c>
      <c r="H125" s="88">
        <f t="shared" si="2"/>
        <v>0</v>
      </c>
    </row>
    <row r="126" spans="1:8" s="112" customFormat="1" ht="85.5" customHeight="1">
      <c r="A126" s="83" t="s">
        <v>1216</v>
      </c>
      <c r="B126" s="83" t="s">
        <v>140</v>
      </c>
      <c r="C126" s="83" t="s">
        <v>142</v>
      </c>
      <c r="D126" s="95"/>
      <c r="E126" s="67" t="s">
        <v>143</v>
      </c>
      <c r="F126" s="91">
        <f t="shared" si="4"/>
        <v>53470</v>
      </c>
      <c r="G126" s="92">
        <f t="shared" si="4"/>
        <v>0</v>
      </c>
      <c r="H126" s="93">
        <f t="shared" si="2"/>
        <v>0</v>
      </c>
    </row>
    <row r="127" spans="1:8" s="112" customFormat="1" ht="64.5" customHeight="1">
      <c r="A127" s="83" t="s">
        <v>144</v>
      </c>
      <c r="B127" s="83" t="s">
        <v>140</v>
      </c>
      <c r="C127" s="83" t="s">
        <v>145</v>
      </c>
      <c r="D127" s="95"/>
      <c r="E127" s="113" t="s">
        <v>146</v>
      </c>
      <c r="F127" s="96">
        <f t="shared" si="4"/>
        <v>53470</v>
      </c>
      <c r="G127" s="98">
        <f t="shared" si="4"/>
        <v>0</v>
      </c>
      <c r="H127" s="93">
        <f t="shared" si="2"/>
        <v>0</v>
      </c>
    </row>
    <row r="128" spans="1:8" s="79" customFormat="1" ht="71.25" customHeight="1">
      <c r="A128" s="83" t="s">
        <v>147</v>
      </c>
      <c r="B128" s="83" t="s">
        <v>140</v>
      </c>
      <c r="C128" s="83" t="s">
        <v>145</v>
      </c>
      <c r="D128" s="95" t="s">
        <v>148</v>
      </c>
      <c r="E128" s="99" t="s">
        <v>149</v>
      </c>
      <c r="F128" s="96">
        <v>53470</v>
      </c>
      <c r="G128" s="98">
        <v>0</v>
      </c>
      <c r="H128" s="93">
        <f t="shared" si="2"/>
        <v>0</v>
      </c>
    </row>
    <row r="129" spans="1:8" s="112" customFormat="1" ht="16.5" customHeight="1">
      <c r="A129" s="83" t="s">
        <v>150</v>
      </c>
      <c r="B129" s="84" t="s">
        <v>151</v>
      </c>
      <c r="C129" s="83"/>
      <c r="D129" s="95"/>
      <c r="E129" s="114" t="s">
        <v>152</v>
      </c>
      <c r="F129" s="87">
        <f>F130</f>
        <v>989820</v>
      </c>
      <c r="G129" s="101">
        <f>G130</f>
        <v>153179.58</v>
      </c>
      <c r="H129" s="88">
        <f t="shared" si="2"/>
        <v>15.475498575498575</v>
      </c>
    </row>
    <row r="130" spans="1:8" s="112" customFormat="1" ht="66.75" customHeight="1">
      <c r="A130" s="83" t="s">
        <v>153</v>
      </c>
      <c r="B130" s="83" t="s">
        <v>151</v>
      </c>
      <c r="C130" s="83" t="s">
        <v>154</v>
      </c>
      <c r="D130" s="95"/>
      <c r="E130" s="67" t="s">
        <v>155</v>
      </c>
      <c r="F130" s="91">
        <f>F131</f>
        <v>989820</v>
      </c>
      <c r="G130" s="92">
        <f>G131</f>
        <v>153179.58</v>
      </c>
      <c r="H130" s="93">
        <f t="shared" si="2"/>
        <v>15.475498575498575</v>
      </c>
    </row>
    <row r="131" spans="1:8" s="112" customFormat="1" ht="49.5" customHeight="1">
      <c r="A131" s="83" t="s">
        <v>156</v>
      </c>
      <c r="B131" s="83" t="s">
        <v>151</v>
      </c>
      <c r="C131" s="83" t="s">
        <v>157</v>
      </c>
      <c r="D131" s="95"/>
      <c r="E131" s="67" t="s">
        <v>158</v>
      </c>
      <c r="F131" s="96">
        <f>F132+F134</f>
        <v>989820</v>
      </c>
      <c r="G131" s="98">
        <f>G132+G134</f>
        <v>153179.58</v>
      </c>
      <c r="H131" s="93">
        <f t="shared" si="2"/>
        <v>15.475498575498575</v>
      </c>
    </row>
    <row r="132" spans="1:8" s="112" customFormat="1" ht="18.75" customHeight="1">
      <c r="A132" s="83" t="s">
        <v>159</v>
      </c>
      <c r="B132" s="83" t="s">
        <v>151</v>
      </c>
      <c r="C132" s="83" t="s">
        <v>160</v>
      </c>
      <c r="D132" s="95"/>
      <c r="E132" s="67" t="s">
        <v>161</v>
      </c>
      <c r="F132" s="96">
        <f>F133</f>
        <v>725969</v>
      </c>
      <c r="G132" s="98">
        <f>G133</f>
        <v>28972.8</v>
      </c>
      <c r="H132" s="93">
        <f t="shared" si="2"/>
        <v>3.990914212590345</v>
      </c>
    </row>
    <row r="133" spans="1:8" s="79" customFormat="1" ht="53.25" customHeight="1">
      <c r="A133" s="83" t="s">
        <v>162</v>
      </c>
      <c r="B133" s="83" t="s">
        <v>151</v>
      </c>
      <c r="C133" s="83" t="s">
        <v>160</v>
      </c>
      <c r="D133" s="95" t="s">
        <v>1222</v>
      </c>
      <c r="E133" s="67" t="s">
        <v>1223</v>
      </c>
      <c r="F133" s="115">
        <f>989820-263851</f>
        <v>725969</v>
      </c>
      <c r="G133" s="116">
        <v>28972.8</v>
      </c>
      <c r="H133" s="93">
        <f t="shared" si="2"/>
        <v>3.990914212590345</v>
      </c>
    </row>
    <row r="134" spans="1:8" s="112" customFormat="1" ht="29.25" customHeight="1">
      <c r="A134" s="83" t="s">
        <v>163</v>
      </c>
      <c r="B134" s="83" t="s">
        <v>151</v>
      </c>
      <c r="C134" s="83" t="s">
        <v>164</v>
      </c>
      <c r="D134" s="95"/>
      <c r="E134" s="99" t="s">
        <v>7</v>
      </c>
      <c r="F134" s="115">
        <f>F135</f>
        <v>263851</v>
      </c>
      <c r="G134" s="116">
        <f>G135</f>
        <v>124206.78</v>
      </c>
      <c r="H134" s="93">
        <f t="shared" si="2"/>
        <v>47.07459134132522</v>
      </c>
    </row>
    <row r="135" spans="1:8" s="112" customFormat="1" ht="56.25" customHeight="1">
      <c r="A135" s="83" t="s">
        <v>165</v>
      </c>
      <c r="B135" s="83" t="s">
        <v>151</v>
      </c>
      <c r="C135" s="83" t="s">
        <v>164</v>
      </c>
      <c r="D135" s="95" t="s">
        <v>1222</v>
      </c>
      <c r="E135" s="67" t="s">
        <v>1223</v>
      </c>
      <c r="F135" s="115">
        <v>263851</v>
      </c>
      <c r="G135" s="116">
        <v>124206.78</v>
      </c>
      <c r="H135" s="93">
        <f aca="true" t="shared" si="5" ref="H135:H198">G135/F135*100</f>
        <v>47.07459134132522</v>
      </c>
    </row>
    <row r="136" spans="1:8" s="112" customFormat="1" ht="20.25" customHeight="1">
      <c r="A136" s="83" t="s">
        <v>166</v>
      </c>
      <c r="B136" s="84" t="s">
        <v>167</v>
      </c>
      <c r="C136" s="84"/>
      <c r="D136" s="85"/>
      <c r="E136" s="89" t="s">
        <v>168</v>
      </c>
      <c r="F136" s="106">
        <f>F137</f>
        <v>111170</v>
      </c>
      <c r="G136" s="105">
        <f>G137</f>
        <v>0</v>
      </c>
      <c r="H136" s="88">
        <f t="shared" si="5"/>
        <v>0</v>
      </c>
    </row>
    <row r="137" spans="1:8" s="112" customFormat="1" ht="36" customHeight="1">
      <c r="A137" s="83" t="s">
        <v>169</v>
      </c>
      <c r="B137" s="83" t="s">
        <v>167</v>
      </c>
      <c r="C137" s="83" t="s">
        <v>154</v>
      </c>
      <c r="D137" s="95"/>
      <c r="E137" s="67" t="s">
        <v>155</v>
      </c>
      <c r="F137" s="107">
        <f>F138</f>
        <v>111170</v>
      </c>
      <c r="G137" s="108">
        <f>G138</f>
        <v>0</v>
      </c>
      <c r="H137" s="93">
        <f t="shared" si="5"/>
        <v>0</v>
      </c>
    </row>
    <row r="138" spans="1:8" s="112" customFormat="1" ht="32.25" customHeight="1">
      <c r="A138" s="83" t="s">
        <v>170</v>
      </c>
      <c r="B138" s="83" t="s">
        <v>167</v>
      </c>
      <c r="C138" s="83" t="s">
        <v>171</v>
      </c>
      <c r="D138" s="95"/>
      <c r="E138" s="67" t="s">
        <v>172</v>
      </c>
      <c r="F138" s="109">
        <f>+F139</f>
        <v>111170</v>
      </c>
      <c r="G138" s="110">
        <f>+G139</f>
        <v>0</v>
      </c>
      <c r="H138" s="93">
        <f t="shared" si="5"/>
        <v>0</v>
      </c>
    </row>
    <row r="139" spans="1:8" s="112" customFormat="1" ht="37.5" customHeight="1">
      <c r="A139" s="83" t="s">
        <v>173</v>
      </c>
      <c r="B139" s="83" t="s">
        <v>167</v>
      </c>
      <c r="C139" s="83" t="s">
        <v>174</v>
      </c>
      <c r="D139" s="95"/>
      <c r="E139" s="67" t="s">
        <v>175</v>
      </c>
      <c r="F139" s="107">
        <f>F140</f>
        <v>111170</v>
      </c>
      <c r="G139" s="108">
        <f>G140</f>
        <v>0</v>
      </c>
      <c r="H139" s="93">
        <f t="shared" si="5"/>
        <v>0</v>
      </c>
    </row>
    <row r="140" spans="1:8" ht="48.75" customHeight="1">
      <c r="A140" s="83" t="s">
        <v>176</v>
      </c>
      <c r="B140" s="83" t="s">
        <v>167</v>
      </c>
      <c r="C140" s="83" t="s">
        <v>174</v>
      </c>
      <c r="D140" s="95" t="s">
        <v>1222</v>
      </c>
      <c r="E140" s="67" t="s">
        <v>1223</v>
      </c>
      <c r="F140" s="109">
        <v>111170</v>
      </c>
      <c r="G140" s="110">
        <v>0</v>
      </c>
      <c r="H140" s="93">
        <f t="shared" si="5"/>
        <v>0</v>
      </c>
    </row>
    <row r="141" spans="1:8" ht="24" customHeight="1">
      <c r="A141" s="83" t="s">
        <v>177</v>
      </c>
      <c r="B141" s="84" t="s">
        <v>178</v>
      </c>
      <c r="C141" s="117"/>
      <c r="D141" s="118"/>
      <c r="E141" s="89" t="s">
        <v>179</v>
      </c>
      <c r="F141" s="106">
        <f>F142</f>
        <v>23360761</v>
      </c>
      <c r="G141" s="105">
        <f>G142</f>
        <v>4018648.6499999994</v>
      </c>
      <c r="H141" s="88">
        <f t="shared" si="5"/>
        <v>17.202558812189377</v>
      </c>
    </row>
    <row r="142" spans="1:8" ht="70.5" customHeight="1">
      <c r="A142" s="83" t="s">
        <v>180</v>
      </c>
      <c r="B142" s="83" t="s">
        <v>178</v>
      </c>
      <c r="C142" s="83" t="s">
        <v>181</v>
      </c>
      <c r="D142" s="95"/>
      <c r="E142" s="113" t="s">
        <v>182</v>
      </c>
      <c r="F142" s="107">
        <f>F143+F155</f>
        <v>23360761</v>
      </c>
      <c r="G142" s="107">
        <f>G143+G155</f>
        <v>4018648.6499999994</v>
      </c>
      <c r="H142" s="93">
        <f t="shared" si="5"/>
        <v>17.202558812189377</v>
      </c>
    </row>
    <row r="143" spans="1:8" ht="47.25" customHeight="1">
      <c r="A143" s="83" t="s">
        <v>183</v>
      </c>
      <c r="B143" s="83" t="s">
        <v>178</v>
      </c>
      <c r="C143" s="83" t="s">
        <v>184</v>
      </c>
      <c r="D143" s="95"/>
      <c r="E143" s="119" t="s">
        <v>185</v>
      </c>
      <c r="F143" s="107">
        <f>F144+F148+F150+F152+F154</f>
        <v>22304021</v>
      </c>
      <c r="G143" s="108">
        <f>G144+G148+G150+G152+G154</f>
        <v>3771939.6399999997</v>
      </c>
      <c r="H143" s="93">
        <f t="shared" si="5"/>
        <v>16.911478159027915</v>
      </c>
    </row>
    <row r="144" spans="1:8" ht="32.25" customHeight="1">
      <c r="A144" s="83" t="s">
        <v>186</v>
      </c>
      <c r="B144" s="83" t="s">
        <v>178</v>
      </c>
      <c r="C144" s="83" t="s">
        <v>187</v>
      </c>
      <c r="D144" s="95"/>
      <c r="E144" s="67" t="s">
        <v>188</v>
      </c>
      <c r="F144" s="109">
        <f>SUM(F145:F146)</f>
        <v>6002008</v>
      </c>
      <c r="G144" s="109">
        <f>SUM(G145:G146)</f>
        <v>2306463.03</v>
      </c>
      <c r="H144" s="93">
        <f t="shared" si="5"/>
        <v>38.42818986579158</v>
      </c>
    </row>
    <row r="145" spans="1:8" ht="55.5" customHeight="1">
      <c r="A145" s="83" t="s">
        <v>189</v>
      </c>
      <c r="B145" s="120" t="s">
        <v>178</v>
      </c>
      <c r="C145" s="120" t="s">
        <v>187</v>
      </c>
      <c r="D145" s="121" t="s">
        <v>1222</v>
      </c>
      <c r="E145" s="67" t="s">
        <v>1223</v>
      </c>
      <c r="F145" s="109">
        <v>552965</v>
      </c>
      <c r="G145" s="110">
        <v>60066.03</v>
      </c>
      <c r="H145" s="93">
        <f t="shared" si="5"/>
        <v>10.862537411951932</v>
      </c>
    </row>
    <row r="146" spans="1:8" ht="67.5" customHeight="1">
      <c r="A146" s="83" t="s">
        <v>190</v>
      </c>
      <c r="B146" s="83" t="s">
        <v>178</v>
      </c>
      <c r="C146" s="83" t="s">
        <v>187</v>
      </c>
      <c r="D146" s="95" t="s">
        <v>148</v>
      </c>
      <c r="E146" s="99" t="s">
        <v>149</v>
      </c>
      <c r="F146" s="109">
        <v>5449043</v>
      </c>
      <c r="G146" s="110">
        <v>2246397</v>
      </c>
      <c r="H146" s="93">
        <f t="shared" si="5"/>
        <v>41.22553263022516</v>
      </c>
    </row>
    <row r="147" spans="1:8" ht="31.5" customHeight="1">
      <c r="A147" s="83" t="s">
        <v>191</v>
      </c>
      <c r="B147" s="83" t="s">
        <v>178</v>
      </c>
      <c r="C147" s="83" t="s">
        <v>192</v>
      </c>
      <c r="D147" s="95"/>
      <c r="E147" s="67" t="s">
        <v>193</v>
      </c>
      <c r="F147" s="109">
        <f>F148</f>
        <v>13000290</v>
      </c>
      <c r="G147" s="110">
        <f>G148</f>
        <v>0</v>
      </c>
      <c r="H147" s="93">
        <f t="shared" si="5"/>
        <v>0</v>
      </c>
    </row>
    <row r="148" spans="1:8" ht="51.75" customHeight="1">
      <c r="A148" s="83" t="s">
        <v>194</v>
      </c>
      <c r="B148" s="83" t="s">
        <v>178</v>
      </c>
      <c r="C148" s="83" t="s">
        <v>192</v>
      </c>
      <c r="D148" s="95" t="s">
        <v>1222</v>
      </c>
      <c r="E148" s="99" t="s">
        <v>1223</v>
      </c>
      <c r="F148" s="109">
        <v>13000290</v>
      </c>
      <c r="G148" s="110">
        <v>0</v>
      </c>
      <c r="H148" s="93">
        <f t="shared" si="5"/>
        <v>0</v>
      </c>
    </row>
    <row r="149" spans="1:8" ht="66.75" customHeight="1">
      <c r="A149" s="83" t="s">
        <v>195</v>
      </c>
      <c r="B149" s="83" t="s">
        <v>178</v>
      </c>
      <c r="C149" s="83" t="s">
        <v>196</v>
      </c>
      <c r="D149" s="95"/>
      <c r="E149" s="67" t="s">
        <v>197</v>
      </c>
      <c r="F149" s="109">
        <f>F150</f>
        <v>430000</v>
      </c>
      <c r="G149" s="110">
        <f>G150</f>
        <v>0</v>
      </c>
      <c r="H149" s="93">
        <f t="shared" si="5"/>
        <v>0</v>
      </c>
    </row>
    <row r="150" spans="1:8" ht="36" customHeight="1">
      <c r="A150" s="83" t="s">
        <v>198</v>
      </c>
      <c r="B150" s="83" t="s">
        <v>178</v>
      </c>
      <c r="C150" s="83" t="s">
        <v>196</v>
      </c>
      <c r="D150" s="95" t="s">
        <v>1222</v>
      </c>
      <c r="E150" s="99" t="s">
        <v>1223</v>
      </c>
      <c r="F150" s="109">
        <v>430000</v>
      </c>
      <c r="G150" s="110">
        <v>0</v>
      </c>
      <c r="H150" s="93">
        <f t="shared" si="5"/>
        <v>0</v>
      </c>
    </row>
    <row r="151" spans="1:8" ht="21" customHeight="1">
      <c r="A151" s="83" t="s">
        <v>199</v>
      </c>
      <c r="B151" s="83" t="s">
        <v>178</v>
      </c>
      <c r="C151" s="83" t="s">
        <v>200</v>
      </c>
      <c r="D151" s="95"/>
      <c r="E151" s="99" t="s">
        <v>201</v>
      </c>
      <c r="F151" s="109">
        <f>F152</f>
        <v>770000</v>
      </c>
      <c r="G151" s="110">
        <f>G152</f>
        <v>0</v>
      </c>
      <c r="H151" s="93">
        <f t="shared" si="5"/>
        <v>0</v>
      </c>
    </row>
    <row r="152" spans="1:8" ht="49.5" customHeight="1">
      <c r="A152" s="83" t="s">
        <v>202</v>
      </c>
      <c r="B152" s="83" t="s">
        <v>178</v>
      </c>
      <c r="C152" s="83" t="s">
        <v>200</v>
      </c>
      <c r="D152" s="95" t="s">
        <v>1222</v>
      </c>
      <c r="E152" s="99" t="s">
        <v>1223</v>
      </c>
      <c r="F152" s="109">
        <v>770000</v>
      </c>
      <c r="G152" s="110">
        <v>0</v>
      </c>
      <c r="H152" s="93">
        <f t="shared" si="5"/>
        <v>0</v>
      </c>
    </row>
    <row r="153" spans="1:8" ht="36" customHeight="1">
      <c r="A153" s="83" t="s">
        <v>203</v>
      </c>
      <c r="B153" s="83" t="s">
        <v>178</v>
      </c>
      <c r="C153" s="83" t="s">
        <v>204</v>
      </c>
      <c r="D153" s="95"/>
      <c r="E153" s="99" t="s">
        <v>7</v>
      </c>
      <c r="F153" s="109">
        <f>F154</f>
        <v>2101723</v>
      </c>
      <c r="G153" s="110">
        <f>G154</f>
        <v>1465476.61</v>
      </c>
      <c r="H153" s="93">
        <f t="shared" si="5"/>
        <v>69.72739081220503</v>
      </c>
    </row>
    <row r="154" spans="1:8" ht="50.25" customHeight="1">
      <c r="A154" s="83" t="s">
        <v>205</v>
      </c>
      <c r="B154" s="83" t="s">
        <v>178</v>
      </c>
      <c r="C154" s="83" t="s">
        <v>204</v>
      </c>
      <c r="D154" s="95" t="s">
        <v>1222</v>
      </c>
      <c r="E154" s="99" t="s">
        <v>1223</v>
      </c>
      <c r="F154" s="109">
        <v>2101723</v>
      </c>
      <c r="G154" s="110">
        <v>1465476.61</v>
      </c>
      <c r="H154" s="93">
        <f t="shared" si="5"/>
        <v>69.72739081220503</v>
      </c>
    </row>
    <row r="155" spans="1:8" ht="53.25" customHeight="1">
      <c r="A155" s="83" t="s">
        <v>206</v>
      </c>
      <c r="B155" s="83" t="s">
        <v>178</v>
      </c>
      <c r="C155" s="83" t="s">
        <v>207</v>
      </c>
      <c r="D155" s="95"/>
      <c r="E155" s="119" t="s">
        <v>208</v>
      </c>
      <c r="F155" s="107">
        <f>F156+F158+F160+F162</f>
        <v>1056740</v>
      </c>
      <c r="G155" s="108">
        <f>G156+G158+G160+G162</f>
        <v>246709.01</v>
      </c>
      <c r="H155" s="93">
        <f t="shared" si="5"/>
        <v>23.346235592482543</v>
      </c>
    </row>
    <row r="156" spans="1:8" ht="47.25" customHeight="1">
      <c r="A156" s="83" t="s">
        <v>209</v>
      </c>
      <c r="B156" s="83" t="s">
        <v>178</v>
      </c>
      <c r="C156" s="83" t="s">
        <v>210</v>
      </c>
      <c r="D156" s="95"/>
      <c r="E156" s="119" t="s">
        <v>211</v>
      </c>
      <c r="F156" s="109">
        <f>F157</f>
        <v>630030</v>
      </c>
      <c r="G156" s="110">
        <f>G157</f>
        <v>0</v>
      </c>
      <c r="H156" s="93">
        <f t="shared" si="5"/>
        <v>0</v>
      </c>
    </row>
    <row r="157" spans="1:8" ht="48" customHeight="1">
      <c r="A157" s="83" t="s">
        <v>212</v>
      </c>
      <c r="B157" s="83" t="s">
        <v>178</v>
      </c>
      <c r="C157" s="83" t="s">
        <v>210</v>
      </c>
      <c r="D157" s="95" t="s">
        <v>1222</v>
      </c>
      <c r="E157" s="99" t="s">
        <v>1223</v>
      </c>
      <c r="F157" s="109">
        <v>630030</v>
      </c>
      <c r="G157" s="110">
        <v>0</v>
      </c>
      <c r="H157" s="93">
        <f t="shared" si="5"/>
        <v>0</v>
      </c>
    </row>
    <row r="158" spans="1:8" ht="50.25" customHeight="1">
      <c r="A158" s="83" t="s">
        <v>213</v>
      </c>
      <c r="B158" s="83" t="s">
        <v>178</v>
      </c>
      <c r="C158" s="83" t="s">
        <v>214</v>
      </c>
      <c r="D158" s="95"/>
      <c r="E158" s="99" t="s">
        <v>215</v>
      </c>
      <c r="F158" s="107">
        <f>F159</f>
        <v>50000</v>
      </c>
      <c r="G158" s="108">
        <f>G159</f>
        <v>0</v>
      </c>
      <c r="H158" s="93">
        <f t="shared" si="5"/>
        <v>0</v>
      </c>
    </row>
    <row r="159" spans="1:8" ht="51" customHeight="1">
      <c r="A159" s="83" t="s">
        <v>216</v>
      </c>
      <c r="B159" s="83" t="s">
        <v>178</v>
      </c>
      <c r="C159" s="83" t="s">
        <v>214</v>
      </c>
      <c r="D159" s="95" t="s">
        <v>1222</v>
      </c>
      <c r="E159" s="99" t="s">
        <v>1223</v>
      </c>
      <c r="F159" s="107">
        <v>50000</v>
      </c>
      <c r="G159" s="108">
        <v>0</v>
      </c>
      <c r="H159" s="93">
        <f t="shared" si="5"/>
        <v>0</v>
      </c>
    </row>
    <row r="160" spans="1:8" ht="49.5" customHeight="1">
      <c r="A160" s="83" t="s">
        <v>217</v>
      </c>
      <c r="B160" s="83" t="s">
        <v>178</v>
      </c>
      <c r="C160" s="83" t="s">
        <v>218</v>
      </c>
      <c r="D160" s="95"/>
      <c r="E160" s="99" t="s">
        <v>219</v>
      </c>
      <c r="F160" s="107">
        <f>F161</f>
        <v>130000</v>
      </c>
      <c r="G160" s="108">
        <f>G161</f>
        <v>0</v>
      </c>
      <c r="H160" s="93">
        <f t="shared" si="5"/>
        <v>0</v>
      </c>
    </row>
    <row r="161" spans="1:8" ht="33" customHeight="1">
      <c r="A161" s="83" t="s">
        <v>220</v>
      </c>
      <c r="B161" s="83" t="s">
        <v>178</v>
      </c>
      <c r="C161" s="83" t="s">
        <v>218</v>
      </c>
      <c r="D161" s="95" t="s">
        <v>1222</v>
      </c>
      <c r="E161" s="99" t="s">
        <v>1223</v>
      </c>
      <c r="F161" s="107">
        <v>130000</v>
      </c>
      <c r="G161" s="108">
        <v>0</v>
      </c>
      <c r="H161" s="93">
        <f t="shared" si="5"/>
        <v>0</v>
      </c>
    </row>
    <row r="162" spans="1:8" ht="31.5" customHeight="1">
      <c r="A162" s="83" t="s">
        <v>221</v>
      </c>
      <c r="B162" s="83" t="s">
        <v>178</v>
      </c>
      <c r="C162" s="83" t="s">
        <v>222</v>
      </c>
      <c r="D162" s="95"/>
      <c r="E162" s="99" t="s">
        <v>7</v>
      </c>
      <c r="F162" s="107">
        <f>F163</f>
        <v>246710</v>
      </c>
      <c r="G162" s="108">
        <f>G163</f>
        <v>246709.01</v>
      </c>
      <c r="H162" s="93">
        <f t="shared" si="5"/>
        <v>99.99959871914393</v>
      </c>
    </row>
    <row r="163" spans="1:8" ht="38.25" customHeight="1">
      <c r="A163" s="83" t="s">
        <v>223</v>
      </c>
      <c r="B163" s="83" t="s">
        <v>178</v>
      </c>
      <c r="C163" s="83" t="s">
        <v>222</v>
      </c>
      <c r="D163" s="95" t="s">
        <v>1222</v>
      </c>
      <c r="E163" s="99" t="s">
        <v>1223</v>
      </c>
      <c r="F163" s="107">
        <f>8286+238424</f>
        <v>246710</v>
      </c>
      <c r="G163" s="108">
        <v>246709.01</v>
      </c>
      <c r="H163" s="93">
        <f t="shared" si="5"/>
        <v>99.99959871914393</v>
      </c>
    </row>
    <row r="164" spans="1:8" ht="27.75" customHeight="1">
      <c r="A164" s="83" t="s">
        <v>224</v>
      </c>
      <c r="B164" s="84" t="s">
        <v>225</v>
      </c>
      <c r="C164" s="84"/>
      <c r="D164" s="85"/>
      <c r="E164" s="122" t="s">
        <v>226</v>
      </c>
      <c r="F164" s="106">
        <f>F165</f>
        <v>191100</v>
      </c>
      <c r="G164" s="105">
        <f>G165</f>
        <v>0</v>
      </c>
      <c r="H164" s="88">
        <f t="shared" si="5"/>
        <v>0</v>
      </c>
    </row>
    <row r="165" spans="1:8" ht="48.75" customHeight="1">
      <c r="A165" s="83" t="s">
        <v>227</v>
      </c>
      <c r="B165" s="83" t="s">
        <v>225</v>
      </c>
      <c r="C165" s="83" t="s">
        <v>228</v>
      </c>
      <c r="D165" s="95"/>
      <c r="E165" s="67" t="s">
        <v>229</v>
      </c>
      <c r="F165" s="107">
        <f>F166+F171+F176+F179</f>
        <v>191100</v>
      </c>
      <c r="G165" s="108">
        <f>G166+G171+G176+G179</f>
        <v>0</v>
      </c>
      <c r="H165" s="93">
        <f t="shared" si="5"/>
        <v>0</v>
      </c>
    </row>
    <row r="166" spans="1:8" ht="37.5" customHeight="1">
      <c r="A166" s="83" t="s">
        <v>230</v>
      </c>
      <c r="B166" s="83" t="s">
        <v>225</v>
      </c>
      <c r="C166" s="83" t="s">
        <v>231</v>
      </c>
      <c r="D166" s="95"/>
      <c r="E166" s="67" t="s">
        <v>232</v>
      </c>
      <c r="F166" s="107">
        <f>F167+F169</f>
        <v>64600</v>
      </c>
      <c r="G166" s="108">
        <f>G167+G169</f>
        <v>0</v>
      </c>
      <c r="H166" s="93">
        <f t="shared" si="5"/>
        <v>0</v>
      </c>
    </row>
    <row r="167" spans="1:8" ht="39.75" customHeight="1">
      <c r="A167" s="83" t="s">
        <v>233</v>
      </c>
      <c r="B167" s="83" t="s">
        <v>225</v>
      </c>
      <c r="C167" s="83" t="s">
        <v>234</v>
      </c>
      <c r="D167" s="95"/>
      <c r="E167" s="67" t="s">
        <v>235</v>
      </c>
      <c r="F167" s="107">
        <f>F168</f>
        <v>26800</v>
      </c>
      <c r="G167" s="108">
        <f>G168</f>
        <v>0</v>
      </c>
      <c r="H167" s="93">
        <f t="shared" si="5"/>
        <v>0</v>
      </c>
    </row>
    <row r="168" spans="1:8" ht="52.5" customHeight="1">
      <c r="A168" s="83" t="s">
        <v>236</v>
      </c>
      <c r="B168" s="83" t="s">
        <v>225</v>
      </c>
      <c r="C168" s="83" t="s">
        <v>234</v>
      </c>
      <c r="D168" s="95" t="s">
        <v>1222</v>
      </c>
      <c r="E168" s="99" t="s">
        <v>1223</v>
      </c>
      <c r="F168" s="107">
        <v>26800</v>
      </c>
      <c r="G168" s="108">
        <v>0</v>
      </c>
      <c r="H168" s="93">
        <f t="shared" si="5"/>
        <v>0</v>
      </c>
    </row>
    <row r="169" spans="1:8" ht="33.75" customHeight="1">
      <c r="A169" s="83" t="s">
        <v>237</v>
      </c>
      <c r="B169" s="83" t="s">
        <v>225</v>
      </c>
      <c r="C169" s="83" t="s">
        <v>238</v>
      </c>
      <c r="D169" s="95"/>
      <c r="E169" s="67" t="s">
        <v>239</v>
      </c>
      <c r="F169" s="107">
        <f>F170</f>
        <v>37800</v>
      </c>
      <c r="G169" s="108">
        <f>G170</f>
        <v>0</v>
      </c>
      <c r="H169" s="93">
        <f t="shared" si="5"/>
        <v>0</v>
      </c>
    </row>
    <row r="170" spans="1:8" ht="50.25" customHeight="1">
      <c r="A170" s="83" t="s">
        <v>240</v>
      </c>
      <c r="B170" s="83" t="s">
        <v>225</v>
      </c>
      <c r="C170" s="83" t="s">
        <v>238</v>
      </c>
      <c r="D170" s="95" t="s">
        <v>1222</v>
      </c>
      <c r="E170" s="99" t="s">
        <v>1223</v>
      </c>
      <c r="F170" s="123">
        <v>37800</v>
      </c>
      <c r="G170" s="124">
        <v>0</v>
      </c>
      <c r="H170" s="93">
        <f t="shared" si="5"/>
        <v>0</v>
      </c>
    </row>
    <row r="171" spans="1:8" ht="45" customHeight="1">
      <c r="A171" s="83" t="s">
        <v>241</v>
      </c>
      <c r="B171" s="83" t="s">
        <v>225</v>
      </c>
      <c r="C171" s="83" t="s">
        <v>242</v>
      </c>
      <c r="D171" s="95"/>
      <c r="E171" s="99" t="s">
        <v>243</v>
      </c>
      <c r="F171" s="107">
        <f>F172+F174</f>
        <v>32100</v>
      </c>
      <c r="G171" s="108">
        <f>G172</f>
        <v>0</v>
      </c>
      <c r="H171" s="93">
        <f t="shared" si="5"/>
        <v>0</v>
      </c>
    </row>
    <row r="172" spans="1:8" ht="48" customHeight="1">
      <c r="A172" s="83" t="s">
        <v>244</v>
      </c>
      <c r="B172" s="83" t="s">
        <v>225</v>
      </c>
      <c r="C172" s="83" t="s">
        <v>245</v>
      </c>
      <c r="D172" s="95"/>
      <c r="E172" s="99" t="s">
        <v>246</v>
      </c>
      <c r="F172" s="107">
        <f>F173</f>
        <v>18900</v>
      </c>
      <c r="G172" s="108">
        <f>G173</f>
        <v>0</v>
      </c>
      <c r="H172" s="93">
        <f t="shared" si="5"/>
        <v>0</v>
      </c>
    </row>
    <row r="173" spans="1:8" s="79" customFormat="1" ht="49.5" customHeight="1">
      <c r="A173" s="83" t="s">
        <v>247</v>
      </c>
      <c r="B173" s="83" t="s">
        <v>225</v>
      </c>
      <c r="C173" s="83" t="s">
        <v>245</v>
      </c>
      <c r="D173" s="95" t="s">
        <v>1222</v>
      </c>
      <c r="E173" s="99" t="s">
        <v>1223</v>
      </c>
      <c r="F173" s="107">
        <v>18900</v>
      </c>
      <c r="G173" s="108">
        <v>0</v>
      </c>
      <c r="H173" s="93">
        <f t="shared" si="5"/>
        <v>0</v>
      </c>
    </row>
    <row r="174" spans="1:8" s="79" customFormat="1" ht="63" customHeight="1">
      <c r="A174" s="83" t="s">
        <v>248</v>
      </c>
      <c r="B174" s="83" t="s">
        <v>225</v>
      </c>
      <c r="C174" s="83" t="s">
        <v>249</v>
      </c>
      <c r="D174" s="95"/>
      <c r="E174" s="99" t="s">
        <v>250</v>
      </c>
      <c r="F174" s="107">
        <f>F175</f>
        <v>13200</v>
      </c>
      <c r="G174" s="108">
        <f>G175</f>
        <v>0</v>
      </c>
      <c r="H174" s="93">
        <f t="shared" si="5"/>
        <v>0</v>
      </c>
    </row>
    <row r="175" spans="1:8" s="79" customFormat="1" ht="49.5" customHeight="1">
      <c r="A175" s="83" t="s">
        <v>251</v>
      </c>
      <c r="B175" s="83" t="s">
        <v>225</v>
      </c>
      <c r="C175" s="83" t="s">
        <v>249</v>
      </c>
      <c r="D175" s="95" t="s">
        <v>1222</v>
      </c>
      <c r="E175" s="99" t="s">
        <v>1223</v>
      </c>
      <c r="F175" s="107">
        <v>13200</v>
      </c>
      <c r="G175" s="108">
        <v>0</v>
      </c>
      <c r="H175" s="93">
        <f t="shared" si="5"/>
        <v>0</v>
      </c>
    </row>
    <row r="176" spans="1:8" s="79" customFormat="1" ht="49.5" customHeight="1">
      <c r="A176" s="83" t="s">
        <v>252</v>
      </c>
      <c r="B176" s="83" t="s">
        <v>225</v>
      </c>
      <c r="C176" s="83" t="s">
        <v>253</v>
      </c>
      <c r="D176" s="95"/>
      <c r="E176" s="99" t="s">
        <v>254</v>
      </c>
      <c r="F176" s="107">
        <f>F177</f>
        <v>59500</v>
      </c>
      <c r="G176" s="108">
        <f>G177</f>
        <v>0</v>
      </c>
      <c r="H176" s="93">
        <f t="shared" si="5"/>
        <v>0</v>
      </c>
    </row>
    <row r="177" spans="1:8" s="79" customFormat="1" ht="37.5" customHeight="1">
      <c r="A177" s="83" t="s">
        <v>255</v>
      </c>
      <c r="B177" s="83" t="s">
        <v>225</v>
      </c>
      <c r="C177" s="83" t="s">
        <v>256</v>
      </c>
      <c r="D177" s="95"/>
      <c r="E177" s="99" t="s">
        <v>257</v>
      </c>
      <c r="F177" s="107">
        <f>F178</f>
        <v>59500</v>
      </c>
      <c r="G177" s="108">
        <f>G178</f>
        <v>0</v>
      </c>
      <c r="H177" s="93">
        <f t="shared" si="5"/>
        <v>0</v>
      </c>
    </row>
    <row r="178" spans="1:8" s="79" customFormat="1" ht="48.75" customHeight="1">
      <c r="A178" s="83" t="s">
        <v>258</v>
      </c>
      <c r="B178" s="83" t="s">
        <v>225</v>
      </c>
      <c r="C178" s="83" t="s">
        <v>256</v>
      </c>
      <c r="D178" s="95" t="s">
        <v>1222</v>
      </c>
      <c r="E178" s="99" t="s">
        <v>1223</v>
      </c>
      <c r="F178" s="107">
        <f>100000-40500</f>
        <v>59500</v>
      </c>
      <c r="G178" s="108">
        <v>0</v>
      </c>
      <c r="H178" s="93">
        <f t="shared" si="5"/>
        <v>0</v>
      </c>
    </row>
    <row r="179" spans="1:8" s="79" customFormat="1" ht="52.5" customHeight="1">
      <c r="A179" s="83" t="s">
        <v>259</v>
      </c>
      <c r="B179" s="83" t="s">
        <v>225</v>
      </c>
      <c r="C179" s="83" t="s">
        <v>260</v>
      </c>
      <c r="D179" s="95"/>
      <c r="E179" s="99" t="s">
        <v>261</v>
      </c>
      <c r="F179" s="107">
        <f>F180+F182</f>
        <v>34900</v>
      </c>
      <c r="G179" s="108">
        <f>G180</f>
        <v>0</v>
      </c>
      <c r="H179" s="93">
        <f t="shared" si="5"/>
        <v>0</v>
      </c>
    </row>
    <row r="180" spans="1:8" s="90" customFormat="1" ht="50.25" customHeight="1">
      <c r="A180" s="83" t="s">
        <v>262</v>
      </c>
      <c r="B180" s="83" t="s">
        <v>225</v>
      </c>
      <c r="C180" s="83" t="s">
        <v>263</v>
      </c>
      <c r="D180" s="95"/>
      <c r="E180" s="99" t="s">
        <v>264</v>
      </c>
      <c r="F180" s="107">
        <f>F181</f>
        <v>20500</v>
      </c>
      <c r="G180" s="108">
        <f>G181</f>
        <v>0</v>
      </c>
      <c r="H180" s="93">
        <f t="shared" si="5"/>
        <v>0</v>
      </c>
    </row>
    <row r="181" spans="1:8" ht="48.75" customHeight="1">
      <c r="A181" s="83" t="s">
        <v>265</v>
      </c>
      <c r="B181" s="83" t="s">
        <v>225</v>
      </c>
      <c r="C181" s="83" t="s">
        <v>263</v>
      </c>
      <c r="D181" s="95" t="s">
        <v>1222</v>
      </c>
      <c r="E181" s="99" t="s">
        <v>1223</v>
      </c>
      <c r="F181" s="125">
        <v>20500</v>
      </c>
      <c r="G181" s="126">
        <v>0</v>
      </c>
      <c r="H181" s="93">
        <f t="shared" si="5"/>
        <v>0</v>
      </c>
    </row>
    <row r="182" spans="1:8" ht="48.75" customHeight="1">
      <c r="A182" s="83" t="s">
        <v>266</v>
      </c>
      <c r="B182" s="83" t="s">
        <v>225</v>
      </c>
      <c r="C182" s="83" t="s">
        <v>267</v>
      </c>
      <c r="D182" s="95"/>
      <c r="E182" s="99" t="s">
        <v>268</v>
      </c>
      <c r="F182" s="125">
        <f>F183</f>
        <v>14400</v>
      </c>
      <c r="G182" s="126">
        <f>G183</f>
        <v>0</v>
      </c>
      <c r="H182" s="93">
        <f t="shared" si="5"/>
        <v>0</v>
      </c>
    </row>
    <row r="183" spans="1:8" ht="48.75" customHeight="1">
      <c r="A183" s="83" t="s">
        <v>269</v>
      </c>
      <c r="B183" s="83" t="s">
        <v>225</v>
      </c>
      <c r="C183" s="83" t="s">
        <v>267</v>
      </c>
      <c r="D183" s="95" t="s">
        <v>1222</v>
      </c>
      <c r="E183" s="99" t="s">
        <v>1223</v>
      </c>
      <c r="F183" s="125">
        <v>14400</v>
      </c>
      <c r="G183" s="126">
        <v>0</v>
      </c>
      <c r="H183" s="93">
        <f t="shared" si="5"/>
        <v>0</v>
      </c>
    </row>
    <row r="184" spans="1:8" s="94" customFormat="1" ht="33" customHeight="1">
      <c r="A184" s="83" t="s">
        <v>270</v>
      </c>
      <c r="B184" s="84" t="s">
        <v>271</v>
      </c>
      <c r="C184" s="84"/>
      <c r="D184" s="85"/>
      <c r="E184" s="89" t="s">
        <v>272</v>
      </c>
      <c r="F184" s="106">
        <f>F185+F200</f>
        <v>2711020</v>
      </c>
      <c r="G184" s="105">
        <f>G185+G200</f>
        <v>10784</v>
      </c>
      <c r="H184" s="88">
        <f t="shared" si="5"/>
        <v>0.3977838599493917</v>
      </c>
    </row>
    <row r="185" spans="1:8" s="94" customFormat="1" ht="48" customHeight="1">
      <c r="A185" s="83" t="s">
        <v>273</v>
      </c>
      <c r="B185" s="83" t="s">
        <v>271</v>
      </c>
      <c r="C185" s="83" t="s">
        <v>26</v>
      </c>
      <c r="D185" s="95"/>
      <c r="E185" s="67" t="s">
        <v>27</v>
      </c>
      <c r="F185" s="107">
        <f>F186+F193</f>
        <v>2555500</v>
      </c>
      <c r="G185" s="108">
        <f>G186+G193</f>
        <v>10784</v>
      </c>
      <c r="H185" s="93">
        <f t="shared" si="5"/>
        <v>0.4219917824300528</v>
      </c>
    </row>
    <row r="186" spans="1:8" s="94" customFormat="1" ht="49.5" customHeight="1">
      <c r="A186" s="83" t="s">
        <v>274</v>
      </c>
      <c r="B186" s="83" t="s">
        <v>271</v>
      </c>
      <c r="C186" s="83" t="s">
        <v>275</v>
      </c>
      <c r="D186" s="95"/>
      <c r="E186" s="113" t="s">
        <v>276</v>
      </c>
      <c r="F186" s="109">
        <f>F187+F189+F191</f>
        <v>400000</v>
      </c>
      <c r="G186" s="110">
        <f>G187+G189+G191</f>
        <v>10784</v>
      </c>
      <c r="H186" s="93">
        <f t="shared" si="5"/>
        <v>2.696</v>
      </c>
    </row>
    <row r="187" spans="1:8" s="94" customFormat="1" ht="50.25" customHeight="1">
      <c r="A187" s="83" t="s">
        <v>277</v>
      </c>
      <c r="B187" s="83" t="s">
        <v>271</v>
      </c>
      <c r="C187" s="83" t="s">
        <v>278</v>
      </c>
      <c r="D187" s="97"/>
      <c r="E187" s="67" t="s">
        <v>279</v>
      </c>
      <c r="F187" s="107">
        <f>F188</f>
        <v>200000</v>
      </c>
      <c r="G187" s="108">
        <f>G188</f>
        <v>10784</v>
      </c>
      <c r="H187" s="93">
        <f t="shared" si="5"/>
        <v>5.392</v>
      </c>
    </row>
    <row r="188" spans="1:8" s="94" customFormat="1" ht="54" customHeight="1">
      <c r="A188" s="83" t="s">
        <v>280</v>
      </c>
      <c r="B188" s="83" t="s">
        <v>271</v>
      </c>
      <c r="C188" s="83" t="s">
        <v>278</v>
      </c>
      <c r="D188" s="95" t="s">
        <v>1222</v>
      </c>
      <c r="E188" s="99" t="s">
        <v>1223</v>
      </c>
      <c r="F188" s="109">
        <v>200000</v>
      </c>
      <c r="G188" s="110">
        <v>10784</v>
      </c>
      <c r="H188" s="93">
        <f t="shared" si="5"/>
        <v>5.392</v>
      </c>
    </row>
    <row r="189" spans="1:8" s="90" customFormat="1" ht="53.25" customHeight="1">
      <c r="A189" s="83" t="s">
        <v>281</v>
      </c>
      <c r="B189" s="83" t="s">
        <v>271</v>
      </c>
      <c r="C189" s="83" t="s">
        <v>282</v>
      </c>
      <c r="D189" s="95"/>
      <c r="E189" s="67" t="s">
        <v>283</v>
      </c>
      <c r="F189" s="107">
        <f>F190</f>
        <v>100000</v>
      </c>
      <c r="G189" s="108">
        <f>G190</f>
        <v>0</v>
      </c>
      <c r="H189" s="93">
        <f t="shared" si="5"/>
        <v>0</v>
      </c>
    </row>
    <row r="190" spans="1:8" s="90" customFormat="1" ht="52.5" customHeight="1">
      <c r="A190" s="83" t="s">
        <v>284</v>
      </c>
      <c r="B190" s="83" t="s">
        <v>271</v>
      </c>
      <c r="C190" s="83" t="s">
        <v>282</v>
      </c>
      <c r="D190" s="95" t="s">
        <v>1222</v>
      </c>
      <c r="E190" s="99" t="s">
        <v>1223</v>
      </c>
      <c r="F190" s="109">
        <v>100000</v>
      </c>
      <c r="G190" s="110">
        <v>0</v>
      </c>
      <c r="H190" s="93">
        <f t="shared" si="5"/>
        <v>0</v>
      </c>
    </row>
    <row r="191" spans="1:8" s="90" customFormat="1" ht="51" customHeight="1">
      <c r="A191" s="83" t="s">
        <v>285</v>
      </c>
      <c r="B191" s="83" t="s">
        <v>271</v>
      </c>
      <c r="C191" s="83" t="s">
        <v>286</v>
      </c>
      <c r="D191" s="95"/>
      <c r="E191" s="67" t="s">
        <v>287</v>
      </c>
      <c r="F191" s="109">
        <f>F192</f>
        <v>100000</v>
      </c>
      <c r="G191" s="110">
        <f>G192</f>
        <v>0</v>
      </c>
      <c r="H191" s="93">
        <f t="shared" si="5"/>
        <v>0</v>
      </c>
    </row>
    <row r="192" spans="1:8" s="90" customFormat="1" ht="48" customHeight="1">
      <c r="A192" s="83" t="s">
        <v>288</v>
      </c>
      <c r="B192" s="83" t="s">
        <v>271</v>
      </c>
      <c r="C192" s="83" t="s">
        <v>286</v>
      </c>
      <c r="D192" s="95" t="s">
        <v>1222</v>
      </c>
      <c r="E192" s="99" t="s">
        <v>1223</v>
      </c>
      <c r="F192" s="109">
        <v>100000</v>
      </c>
      <c r="G192" s="110">
        <v>0</v>
      </c>
      <c r="H192" s="93">
        <f t="shared" si="5"/>
        <v>0</v>
      </c>
    </row>
    <row r="193" spans="1:8" s="90" customFormat="1" ht="48.75" customHeight="1">
      <c r="A193" s="83" t="s">
        <v>289</v>
      </c>
      <c r="B193" s="83" t="s">
        <v>271</v>
      </c>
      <c r="C193" s="83" t="s">
        <v>290</v>
      </c>
      <c r="D193" s="95"/>
      <c r="E193" s="99" t="s">
        <v>291</v>
      </c>
      <c r="F193" s="109">
        <f>F194+F196+F198</f>
        <v>2155500</v>
      </c>
      <c r="G193" s="110">
        <f>G194+G196+G198</f>
        <v>0</v>
      </c>
      <c r="H193" s="93">
        <f t="shared" si="5"/>
        <v>0</v>
      </c>
    </row>
    <row r="194" spans="1:8" s="90" customFormat="1" ht="25.5" customHeight="1">
      <c r="A194" s="83" t="s">
        <v>292</v>
      </c>
      <c r="B194" s="83" t="s">
        <v>271</v>
      </c>
      <c r="C194" s="83" t="s">
        <v>293</v>
      </c>
      <c r="D194" s="95"/>
      <c r="E194" s="99" t="s">
        <v>294</v>
      </c>
      <c r="F194" s="109">
        <f>F195</f>
        <v>1800000</v>
      </c>
      <c r="G194" s="110">
        <f>G195</f>
        <v>0</v>
      </c>
      <c r="H194" s="93">
        <f t="shared" si="5"/>
        <v>0</v>
      </c>
    </row>
    <row r="195" spans="1:8" s="90" customFormat="1" ht="51" customHeight="1">
      <c r="A195" s="83" t="s">
        <v>295</v>
      </c>
      <c r="B195" s="83" t="s">
        <v>271</v>
      </c>
      <c r="C195" s="83" t="s">
        <v>293</v>
      </c>
      <c r="D195" s="95" t="s">
        <v>1222</v>
      </c>
      <c r="E195" s="99" t="s">
        <v>296</v>
      </c>
      <c r="F195" s="109">
        <v>1800000</v>
      </c>
      <c r="G195" s="110">
        <v>0</v>
      </c>
      <c r="H195" s="93">
        <f t="shared" si="5"/>
        <v>0</v>
      </c>
    </row>
    <row r="196" spans="1:8" s="90" customFormat="1" ht="49.5" customHeight="1">
      <c r="A196" s="83" t="s">
        <v>297</v>
      </c>
      <c r="B196" s="83" t="s">
        <v>271</v>
      </c>
      <c r="C196" s="83" t="s">
        <v>298</v>
      </c>
      <c r="D196" s="95"/>
      <c r="E196" s="99" t="s">
        <v>299</v>
      </c>
      <c r="F196" s="109">
        <f>F197</f>
        <v>115500</v>
      </c>
      <c r="G196" s="110">
        <f>G197</f>
        <v>0</v>
      </c>
      <c r="H196" s="93">
        <f t="shared" si="5"/>
        <v>0</v>
      </c>
    </row>
    <row r="197" spans="1:8" s="90" customFormat="1" ht="53.25" customHeight="1">
      <c r="A197" s="83" t="s">
        <v>300</v>
      </c>
      <c r="B197" s="83" t="s">
        <v>271</v>
      </c>
      <c r="C197" s="83" t="s">
        <v>298</v>
      </c>
      <c r="D197" s="95" t="s">
        <v>1222</v>
      </c>
      <c r="E197" s="99" t="s">
        <v>296</v>
      </c>
      <c r="F197" s="109">
        <f>75000+40500</f>
        <v>115500</v>
      </c>
      <c r="G197" s="110">
        <v>0</v>
      </c>
      <c r="H197" s="93">
        <f t="shared" si="5"/>
        <v>0</v>
      </c>
    </row>
    <row r="198" spans="1:8" s="90" customFormat="1" ht="49.5" customHeight="1">
      <c r="A198" s="83" t="s">
        <v>301</v>
      </c>
      <c r="B198" s="83" t="s">
        <v>271</v>
      </c>
      <c r="C198" s="83" t="s">
        <v>302</v>
      </c>
      <c r="D198" s="95"/>
      <c r="E198" s="99" t="s">
        <v>303</v>
      </c>
      <c r="F198" s="109">
        <f>F199</f>
        <v>240000</v>
      </c>
      <c r="G198" s="110">
        <f>G199</f>
        <v>0</v>
      </c>
      <c r="H198" s="93">
        <f t="shared" si="5"/>
        <v>0</v>
      </c>
    </row>
    <row r="199" spans="1:8" s="90" customFormat="1" ht="49.5" customHeight="1">
      <c r="A199" s="83" t="s">
        <v>304</v>
      </c>
      <c r="B199" s="83" t="s">
        <v>271</v>
      </c>
      <c r="C199" s="83" t="s">
        <v>302</v>
      </c>
      <c r="D199" s="95" t="s">
        <v>1222</v>
      </c>
      <c r="E199" s="99" t="s">
        <v>296</v>
      </c>
      <c r="F199" s="109">
        <v>240000</v>
      </c>
      <c r="G199" s="110">
        <v>0</v>
      </c>
      <c r="H199" s="93">
        <f aca="true" t="shared" si="6" ref="H199:H262">G199/F199*100</f>
        <v>0</v>
      </c>
    </row>
    <row r="200" spans="1:8" s="90" customFormat="1" ht="79.5" customHeight="1">
      <c r="A200" s="83" t="s">
        <v>305</v>
      </c>
      <c r="B200" s="83" t="s">
        <v>271</v>
      </c>
      <c r="C200" s="83" t="s">
        <v>142</v>
      </c>
      <c r="D200" s="95"/>
      <c r="E200" s="67" t="s">
        <v>143</v>
      </c>
      <c r="F200" s="109">
        <f>F201+F203</f>
        <v>155520</v>
      </c>
      <c r="G200" s="110">
        <f>G201+G203</f>
        <v>0</v>
      </c>
      <c r="H200" s="93">
        <f t="shared" si="6"/>
        <v>0</v>
      </c>
    </row>
    <row r="201" spans="1:8" s="90" customFormat="1" ht="69.75" customHeight="1">
      <c r="A201" s="83" t="s">
        <v>306</v>
      </c>
      <c r="B201" s="83" t="s">
        <v>271</v>
      </c>
      <c r="C201" s="83" t="s">
        <v>307</v>
      </c>
      <c r="D201" s="95"/>
      <c r="E201" s="127" t="s">
        <v>308</v>
      </c>
      <c r="F201" s="109">
        <f>F202</f>
        <v>105520</v>
      </c>
      <c r="G201" s="110">
        <f>G202</f>
        <v>0</v>
      </c>
      <c r="H201" s="93">
        <f t="shared" si="6"/>
        <v>0</v>
      </c>
    </row>
    <row r="202" spans="1:8" s="90" customFormat="1" ht="69" customHeight="1">
      <c r="A202" s="83" t="s">
        <v>309</v>
      </c>
      <c r="B202" s="83" t="s">
        <v>271</v>
      </c>
      <c r="C202" s="83" t="s">
        <v>307</v>
      </c>
      <c r="D202" s="95" t="s">
        <v>148</v>
      </c>
      <c r="E202" s="99" t="s">
        <v>149</v>
      </c>
      <c r="F202" s="109">
        <v>105520</v>
      </c>
      <c r="G202" s="110">
        <v>0</v>
      </c>
      <c r="H202" s="93">
        <f t="shared" si="6"/>
        <v>0</v>
      </c>
    </row>
    <row r="203" spans="1:8" s="90" customFormat="1" ht="49.5" customHeight="1">
      <c r="A203" s="83" t="s">
        <v>310</v>
      </c>
      <c r="B203" s="83" t="s">
        <v>271</v>
      </c>
      <c r="C203" s="83" t="s">
        <v>311</v>
      </c>
      <c r="D203" s="95"/>
      <c r="E203" s="99" t="s">
        <v>312</v>
      </c>
      <c r="F203" s="109">
        <f>F204</f>
        <v>50000</v>
      </c>
      <c r="G203" s="110">
        <f>G204</f>
        <v>0</v>
      </c>
      <c r="H203" s="93">
        <f t="shared" si="6"/>
        <v>0</v>
      </c>
    </row>
    <row r="204" spans="1:8" s="90" customFormat="1" ht="49.5" customHeight="1">
      <c r="A204" s="83" t="s">
        <v>313</v>
      </c>
      <c r="B204" s="83" t="s">
        <v>271</v>
      </c>
      <c r="C204" s="83" t="s">
        <v>311</v>
      </c>
      <c r="D204" s="95" t="s">
        <v>1222</v>
      </c>
      <c r="E204" s="99" t="s">
        <v>1223</v>
      </c>
      <c r="F204" s="109">
        <v>50000</v>
      </c>
      <c r="G204" s="110">
        <v>0</v>
      </c>
      <c r="H204" s="93">
        <f t="shared" si="6"/>
        <v>0</v>
      </c>
    </row>
    <row r="205" spans="1:8" ht="24.75" customHeight="1">
      <c r="A205" s="83" t="s">
        <v>314</v>
      </c>
      <c r="B205" s="84" t="s">
        <v>315</v>
      </c>
      <c r="C205" s="84"/>
      <c r="D205" s="85"/>
      <c r="E205" s="89" t="s">
        <v>316</v>
      </c>
      <c r="F205" s="87">
        <f>F206+F213+F232+F262</f>
        <v>72313088</v>
      </c>
      <c r="G205" s="87">
        <f>G206+G213+G232+G262</f>
        <v>4759744.62</v>
      </c>
      <c r="H205" s="88">
        <f t="shared" si="6"/>
        <v>6.582134371028382</v>
      </c>
    </row>
    <row r="206" spans="1:8" ht="15.75">
      <c r="A206" s="83" t="s">
        <v>317</v>
      </c>
      <c r="B206" s="84" t="s">
        <v>318</v>
      </c>
      <c r="C206" s="84"/>
      <c r="D206" s="85"/>
      <c r="E206" s="89" t="s">
        <v>319</v>
      </c>
      <c r="F206" s="106">
        <f>F207</f>
        <v>5199149</v>
      </c>
      <c r="G206" s="105">
        <f>G207</f>
        <v>0</v>
      </c>
      <c r="H206" s="88">
        <f t="shared" si="6"/>
        <v>0</v>
      </c>
    </row>
    <row r="207" spans="1:8" ht="84" customHeight="1">
      <c r="A207" s="83" t="s">
        <v>320</v>
      </c>
      <c r="B207" s="83" t="s">
        <v>318</v>
      </c>
      <c r="C207" s="83" t="s">
        <v>321</v>
      </c>
      <c r="D207" s="95"/>
      <c r="E207" s="67" t="s">
        <v>322</v>
      </c>
      <c r="F207" s="107">
        <f>F208</f>
        <v>5199149</v>
      </c>
      <c r="G207" s="108">
        <f>G208</f>
        <v>0</v>
      </c>
      <c r="H207" s="93">
        <f t="shared" si="6"/>
        <v>0</v>
      </c>
    </row>
    <row r="208" spans="1:8" ht="47.25">
      <c r="A208" s="83" t="s">
        <v>323</v>
      </c>
      <c r="B208" s="83" t="s">
        <v>318</v>
      </c>
      <c r="C208" s="83" t="s">
        <v>324</v>
      </c>
      <c r="D208" s="95"/>
      <c r="E208" s="67" t="s">
        <v>325</v>
      </c>
      <c r="F208" s="109">
        <f>F209+F211</f>
        <v>5199149</v>
      </c>
      <c r="G208" s="110">
        <f>G209+G211</f>
        <v>0</v>
      </c>
      <c r="H208" s="93">
        <f t="shared" si="6"/>
        <v>0</v>
      </c>
    </row>
    <row r="209" spans="1:8" ht="47.25">
      <c r="A209" s="83" t="s">
        <v>326</v>
      </c>
      <c r="B209" s="83" t="s">
        <v>318</v>
      </c>
      <c r="C209" s="83" t="s">
        <v>327</v>
      </c>
      <c r="D209" s="95"/>
      <c r="E209" s="67" t="s">
        <v>328</v>
      </c>
      <c r="F209" s="109">
        <f>F210</f>
        <v>4758600</v>
      </c>
      <c r="G209" s="110">
        <f>G210</f>
        <v>0</v>
      </c>
      <c r="H209" s="93">
        <f t="shared" si="6"/>
        <v>0</v>
      </c>
    </row>
    <row r="210" spans="1:8" ht="20.25" customHeight="1">
      <c r="A210" s="83" t="s">
        <v>329</v>
      </c>
      <c r="B210" s="83" t="s">
        <v>318</v>
      </c>
      <c r="C210" s="83" t="s">
        <v>327</v>
      </c>
      <c r="D210" s="95" t="s">
        <v>5</v>
      </c>
      <c r="E210" s="99" t="s">
        <v>330</v>
      </c>
      <c r="F210" s="109">
        <v>4758600</v>
      </c>
      <c r="G210" s="110">
        <v>0</v>
      </c>
      <c r="H210" s="93">
        <f t="shared" si="6"/>
        <v>0</v>
      </c>
    </row>
    <row r="211" spans="1:8" ht="32.25" customHeight="1">
      <c r="A211" s="83" t="s">
        <v>331</v>
      </c>
      <c r="B211" s="83" t="s">
        <v>318</v>
      </c>
      <c r="C211" s="83" t="s">
        <v>332</v>
      </c>
      <c r="D211" s="95"/>
      <c r="E211" s="99" t="s">
        <v>7</v>
      </c>
      <c r="F211" s="109">
        <f>F212</f>
        <v>440549</v>
      </c>
      <c r="G211" s="110">
        <f>G212</f>
        <v>0</v>
      </c>
      <c r="H211" s="93">
        <f t="shared" si="6"/>
        <v>0</v>
      </c>
    </row>
    <row r="212" spans="1:8" ht="49.5" customHeight="1">
      <c r="A212" s="83" t="s">
        <v>333</v>
      </c>
      <c r="B212" s="83" t="s">
        <v>318</v>
      </c>
      <c r="C212" s="83" t="s">
        <v>332</v>
      </c>
      <c r="D212" s="95" t="s">
        <v>1222</v>
      </c>
      <c r="E212" s="99" t="s">
        <v>1223</v>
      </c>
      <c r="F212" s="109">
        <v>440549</v>
      </c>
      <c r="G212" s="110">
        <v>0</v>
      </c>
      <c r="H212" s="93">
        <f t="shared" si="6"/>
        <v>0</v>
      </c>
    </row>
    <row r="213" spans="1:8" ht="15.75">
      <c r="A213" s="83" t="s">
        <v>334</v>
      </c>
      <c r="B213" s="84" t="s">
        <v>335</v>
      </c>
      <c r="C213" s="84"/>
      <c r="D213" s="85"/>
      <c r="E213" s="89" t="s">
        <v>336</v>
      </c>
      <c r="F213" s="106">
        <f>F214</f>
        <v>52259268</v>
      </c>
      <c r="G213" s="105">
        <f>G214</f>
        <v>1187584.96</v>
      </c>
      <c r="H213" s="88">
        <f t="shared" si="6"/>
        <v>2.272486786458624</v>
      </c>
    </row>
    <row r="214" spans="1:9" ht="78" customHeight="1">
      <c r="A214" s="83" t="s">
        <v>337</v>
      </c>
      <c r="B214" s="83" t="s">
        <v>335</v>
      </c>
      <c r="C214" s="83" t="s">
        <v>321</v>
      </c>
      <c r="D214" s="85"/>
      <c r="E214" s="67" t="s">
        <v>322</v>
      </c>
      <c r="F214" s="107">
        <f>F218+F215+F227</f>
        <v>52259268</v>
      </c>
      <c r="G214" s="108">
        <f>G218+G215+G227</f>
        <v>1187584.96</v>
      </c>
      <c r="H214" s="93">
        <f t="shared" si="6"/>
        <v>2.272486786458624</v>
      </c>
      <c r="I214" s="128"/>
    </row>
    <row r="215" spans="1:8" ht="47.25">
      <c r="A215" s="83" t="s">
        <v>338</v>
      </c>
      <c r="B215" s="83" t="s">
        <v>335</v>
      </c>
      <c r="C215" s="83" t="s">
        <v>339</v>
      </c>
      <c r="D215" s="95"/>
      <c r="E215" s="67" t="s">
        <v>340</v>
      </c>
      <c r="F215" s="109">
        <f>F216</f>
        <v>898285</v>
      </c>
      <c r="G215" s="110">
        <f>G216</f>
        <v>898284.96</v>
      </c>
      <c r="H215" s="93">
        <f t="shared" si="6"/>
        <v>99.99999554707024</v>
      </c>
    </row>
    <row r="216" spans="1:8" ht="33" customHeight="1">
      <c r="A216" s="83" t="s">
        <v>341</v>
      </c>
      <c r="B216" s="83" t="s">
        <v>335</v>
      </c>
      <c r="C216" s="83" t="s">
        <v>342</v>
      </c>
      <c r="D216" s="95"/>
      <c r="E216" s="99" t="s">
        <v>7</v>
      </c>
      <c r="F216" s="109">
        <f>F217</f>
        <v>898285</v>
      </c>
      <c r="G216" s="110">
        <f>G217</f>
        <v>898284.96</v>
      </c>
      <c r="H216" s="93">
        <f t="shared" si="6"/>
        <v>99.99999554707024</v>
      </c>
    </row>
    <row r="217" spans="1:8" ht="48" customHeight="1">
      <c r="A217" s="83" t="s">
        <v>343</v>
      </c>
      <c r="B217" s="83" t="s">
        <v>335</v>
      </c>
      <c r="C217" s="83" t="s">
        <v>342</v>
      </c>
      <c r="D217" s="95" t="s">
        <v>1222</v>
      </c>
      <c r="E217" s="99" t="s">
        <v>1223</v>
      </c>
      <c r="F217" s="109">
        <v>898285</v>
      </c>
      <c r="G217" s="110">
        <v>898284.96</v>
      </c>
      <c r="H217" s="93">
        <f t="shared" si="6"/>
        <v>99.99999554707024</v>
      </c>
    </row>
    <row r="218" spans="1:8" s="90" customFormat="1" ht="48.75" customHeight="1">
      <c r="A218" s="83" t="s">
        <v>344</v>
      </c>
      <c r="B218" s="83" t="s">
        <v>335</v>
      </c>
      <c r="C218" s="83" t="s">
        <v>345</v>
      </c>
      <c r="D218" s="95"/>
      <c r="E218" s="99" t="s">
        <v>346</v>
      </c>
      <c r="F218" s="107">
        <f>F219+F221+F223+F225</f>
        <v>1360983</v>
      </c>
      <c r="G218" s="108">
        <f>+G219+G221</f>
        <v>14100</v>
      </c>
      <c r="H218" s="93">
        <f t="shared" si="6"/>
        <v>1.0360158796987178</v>
      </c>
    </row>
    <row r="219" spans="1:8" s="90" customFormat="1" ht="51" customHeight="1">
      <c r="A219" s="83" t="s">
        <v>347</v>
      </c>
      <c r="B219" s="83" t="s">
        <v>335</v>
      </c>
      <c r="C219" s="83" t="s">
        <v>348</v>
      </c>
      <c r="D219" s="95"/>
      <c r="E219" s="67" t="s">
        <v>349</v>
      </c>
      <c r="F219" s="123">
        <f>F220</f>
        <v>179860</v>
      </c>
      <c r="G219" s="124">
        <f>G220</f>
        <v>14100</v>
      </c>
      <c r="H219" s="93">
        <f t="shared" si="6"/>
        <v>7.839430668297565</v>
      </c>
    </row>
    <row r="220" spans="1:8" s="90" customFormat="1" ht="53.25" customHeight="1">
      <c r="A220" s="83" t="s">
        <v>350</v>
      </c>
      <c r="B220" s="83" t="s">
        <v>335</v>
      </c>
      <c r="C220" s="83" t="s">
        <v>348</v>
      </c>
      <c r="D220" s="95" t="s">
        <v>1222</v>
      </c>
      <c r="E220" s="99" t="s">
        <v>1223</v>
      </c>
      <c r="F220" s="123">
        <v>179860</v>
      </c>
      <c r="G220" s="124">
        <v>14100</v>
      </c>
      <c r="H220" s="93">
        <f t="shared" si="6"/>
        <v>7.839430668297565</v>
      </c>
    </row>
    <row r="221" spans="1:8" s="90" customFormat="1" ht="34.5" customHeight="1">
      <c r="A221" s="83" t="s">
        <v>351</v>
      </c>
      <c r="B221" s="83" t="s">
        <v>335</v>
      </c>
      <c r="C221" s="83" t="s">
        <v>352</v>
      </c>
      <c r="D221" s="95"/>
      <c r="E221" s="99" t="s">
        <v>353</v>
      </c>
      <c r="F221" s="123">
        <f>F222</f>
        <v>253000</v>
      </c>
      <c r="G221" s="124">
        <f>G222</f>
        <v>0</v>
      </c>
      <c r="H221" s="93">
        <f t="shared" si="6"/>
        <v>0</v>
      </c>
    </row>
    <row r="222" spans="1:8" s="90" customFormat="1" ht="65.25" customHeight="1">
      <c r="A222" s="83" t="s">
        <v>354</v>
      </c>
      <c r="B222" s="83" t="s">
        <v>335</v>
      </c>
      <c r="C222" s="83" t="s">
        <v>352</v>
      </c>
      <c r="D222" s="95" t="s">
        <v>148</v>
      </c>
      <c r="E222" s="99" t="s">
        <v>149</v>
      </c>
      <c r="F222" s="123">
        <v>253000</v>
      </c>
      <c r="G222" s="124">
        <v>0</v>
      </c>
      <c r="H222" s="93">
        <f t="shared" si="6"/>
        <v>0</v>
      </c>
    </row>
    <row r="223" spans="1:8" s="90" customFormat="1" ht="37.5" customHeight="1">
      <c r="A223" s="83" t="s">
        <v>355</v>
      </c>
      <c r="B223" s="83" t="s">
        <v>335</v>
      </c>
      <c r="C223" s="83" t="s">
        <v>356</v>
      </c>
      <c r="D223" s="129"/>
      <c r="E223" s="99" t="s">
        <v>7</v>
      </c>
      <c r="F223" s="123">
        <f>F224</f>
        <v>437000</v>
      </c>
      <c r="G223" s="124">
        <f>G224</f>
        <v>0</v>
      </c>
      <c r="H223" s="93">
        <f t="shared" si="6"/>
        <v>0</v>
      </c>
    </row>
    <row r="224" spans="1:8" s="90" customFormat="1" ht="65.25" customHeight="1">
      <c r="A224" s="83" t="s">
        <v>357</v>
      </c>
      <c r="B224" s="83" t="s">
        <v>335</v>
      </c>
      <c r="C224" s="83" t="s">
        <v>356</v>
      </c>
      <c r="D224" s="129" t="s">
        <v>1222</v>
      </c>
      <c r="E224" s="99" t="s">
        <v>1223</v>
      </c>
      <c r="F224" s="123">
        <v>437000</v>
      </c>
      <c r="G224" s="124">
        <v>0</v>
      </c>
      <c r="H224" s="93">
        <f t="shared" si="6"/>
        <v>0</v>
      </c>
    </row>
    <row r="225" spans="1:8" s="90" customFormat="1" ht="94.5" customHeight="1">
      <c r="A225" s="83" t="s">
        <v>358</v>
      </c>
      <c r="B225" s="83" t="s">
        <v>335</v>
      </c>
      <c r="C225" s="83" t="s">
        <v>359</v>
      </c>
      <c r="D225" s="129"/>
      <c r="E225" s="99" t="s">
        <v>360</v>
      </c>
      <c r="F225" s="123">
        <f>F226</f>
        <v>491123</v>
      </c>
      <c r="G225" s="124">
        <f>G226</f>
        <v>0</v>
      </c>
      <c r="H225" s="93">
        <f t="shared" si="6"/>
        <v>0</v>
      </c>
    </row>
    <row r="226" spans="1:8" s="90" customFormat="1" ht="61.5" customHeight="1">
      <c r="A226" s="83" t="s">
        <v>361</v>
      </c>
      <c r="B226" s="83" t="s">
        <v>335</v>
      </c>
      <c r="C226" s="83" t="s">
        <v>359</v>
      </c>
      <c r="D226" s="129" t="s">
        <v>148</v>
      </c>
      <c r="E226" s="99" t="s">
        <v>149</v>
      </c>
      <c r="F226" s="130">
        <v>491123</v>
      </c>
      <c r="G226" s="124">
        <v>0</v>
      </c>
      <c r="H226" s="93">
        <f t="shared" si="6"/>
        <v>0</v>
      </c>
    </row>
    <row r="227" spans="1:8" s="90" customFormat="1" ht="64.5" customHeight="1">
      <c r="A227" s="83" t="s">
        <v>362</v>
      </c>
      <c r="B227" s="83" t="s">
        <v>335</v>
      </c>
      <c r="C227" s="83" t="s">
        <v>363</v>
      </c>
      <c r="D227" s="129"/>
      <c r="E227" s="99" t="s">
        <v>364</v>
      </c>
      <c r="F227" s="123">
        <f>F228+F230</f>
        <v>50000000</v>
      </c>
      <c r="G227" s="124">
        <f>G228+G230</f>
        <v>275200</v>
      </c>
      <c r="H227" s="93">
        <f t="shared" si="6"/>
        <v>0.5504</v>
      </c>
    </row>
    <row r="228" spans="1:8" s="90" customFormat="1" ht="21.75" customHeight="1">
      <c r="A228" s="83" t="s">
        <v>365</v>
      </c>
      <c r="B228" s="83" t="s">
        <v>335</v>
      </c>
      <c r="C228" s="95" t="s">
        <v>366</v>
      </c>
      <c r="D228" s="131"/>
      <c r="E228" s="132" t="s">
        <v>367</v>
      </c>
      <c r="F228" s="109">
        <f>F229</f>
        <v>6860000</v>
      </c>
      <c r="G228" s="110">
        <f>G229</f>
        <v>0</v>
      </c>
      <c r="H228" s="93">
        <f t="shared" si="6"/>
        <v>0</v>
      </c>
    </row>
    <row r="229" spans="1:8" s="90" customFormat="1" ht="51" customHeight="1">
      <c r="A229" s="83" t="s">
        <v>368</v>
      </c>
      <c r="B229" s="83" t="s">
        <v>335</v>
      </c>
      <c r="C229" s="83" t="s">
        <v>366</v>
      </c>
      <c r="D229" s="133" t="s">
        <v>1222</v>
      </c>
      <c r="E229" s="99" t="s">
        <v>1223</v>
      </c>
      <c r="F229" s="109">
        <v>6860000</v>
      </c>
      <c r="G229" s="110">
        <v>0</v>
      </c>
      <c r="H229" s="93">
        <f t="shared" si="6"/>
        <v>0</v>
      </c>
    </row>
    <row r="230" spans="1:8" s="90" customFormat="1" ht="51" customHeight="1">
      <c r="A230" s="83" t="s">
        <v>369</v>
      </c>
      <c r="B230" s="83" t="s">
        <v>335</v>
      </c>
      <c r="C230" s="83" t="s">
        <v>370</v>
      </c>
      <c r="D230" s="95"/>
      <c r="E230" s="67" t="s">
        <v>371</v>
      </c>
      <c r="F230" s="107">
        <f>F231</f>
        <v>43140000</v>
      </c>
      <c r="G230" s="108">
        <f>G231</f>
        <v>275200</v>
      </c>
      <c r="H230" s="93">
        <f t="shared" si="6"/>
        <v>0.6379230412610106</v>
      </c>
    </row>
    <row r="231" spans="1:8" s="90" customFormat="1" ht="51" customHeight="1">
      <c r="A231" s="83" t="s">
        <v>372</v>
      </c>
      <c r="B231" s="83" t="s">
        <v>335</v>
      </c>
      <c r="C231" s="83" t="s">
        <v>370</v>
      </c>
      <c r="D231" s="95" t="s">
        <v>1222</v>
      </c>
      <c r="E231" s="99" t="s">
        <v>1223</v>
      </c>
      <c r="F231" s="107">
        <v>43140000</v>
      </c>
      <c r="G231" s="108">
        <v>275200</v>
      </c>
      <c r="H231" s="93">
        <f t="shared" si="6"/>
        <v>0.6379230412610106</v>
      </c>
    </row>
    <row r="232" spans="1:8" s="90" customFormat="1" ht="18.75" customHeight="1">
      <c r="A232" s="83" t="s">
        <v>373</v>
      </c>
      <c r="B232" s="84" t="s">
        <v>374</v>
      </c>
      <c r="C232" s="84"/>
      <c r="D232" s="85"/>
      <c r="E232" s="89" t="s">
        <v>375</v>
      </c>
      <c r="F232" s="105">
        <f>F233</f>
        <v>13897071</v>
      </c>
      <c r="G232" s="105">
        <f>G233</f>
        <v>2938157.98</v>
      </c>
      <c r="H232" s="88">
        <f t="shared" si="6"/>
        <v>21.142282283799226</v>
      </c>
    </row>
    <row r="233" spans="1:8" s="90" customFormat="1" ht="65.25" customHeight="1">
      <c r="A233" s="83" t="s">
        <v>376</v>
      </c>
      <c r="B233" s="83" t="s">
        <v>374</v>
      </c>
      <c r="C233" s="83" t="s">
        <v>321</v>
      </c>
      <c r="D233" s="95"/>
      <c r="E233" s="67" t="s">
        <v>322</v>
      </c>
      <c r="F233" s="107">
        <f>F234+F252</f>
        <v>13897071</v>
      </c>
      <c r="G233" s="107">
        <f>G234+G252</f>
        <v>2938157.98</v>
      </c>
      <c r="H233" s="93">
        <f t="shared" si="6"/>
        <v>21.142282283799226</v>
      </c>
    </row>
    <row r="234" spans="1:8" ht="44.25" customHeight="1">
      <c r="A234" s="83" t="s">
        <v>377</v>
      </c>
      <c r="B234" s="83" t="s">
        <v>374</v>
      </c>
      <c r="C234" s="83" t="s">
        <v>378</v>
      </c>
      <c r="D234" s="95"/>
      <c r="E234" s="67" t="s">
        <v>379</v>
      </c>
      <c r="F234" s="109">
        <f>F235+F237+F239+F241+F243+F245+F247+F249</f>
        <v>7931421</v>
      </c>
      <c r="G234" s="109">
        <f>G235+G237+G239+G241+G243+G245+G247+G249</f>
        <v>2358157.98</v>
      </c>
      <c r="H234" s="93">
        <f t="shared" si="6"/>
        <v>29.73184729445077</v>
      </c>
    </row>
    <row r="235" spans="1:8" ht="34.5" customHeight="1">
      <c r="A235" s="83" t="s">
        <v>380</v>
      </c>
      <c r="B235" s="83" t="s">
        <v>374</v>
      </c>
      <c r="C235" s="83" t="s">
        <v>381</v>
      </c>
      <c r="D235" s="95"/>
      <c r="E235" s="67" t="s">
        <v>382</v>
      </c>
      <c r="F235" s="109">
        <f>F236</f>
        <v>2369039</v>
      </c>
      <c r="G235" s="110">
        <f>G236</f>
        <v>1021520.02</v>
      </c>
      <c r="H235" s="93">
        <f t="shared" si="6"/>
        <v>43.11959490747092</v>
      </c>
    </row>
    <row r="236" spans="1:8" ht="30.75" customHeight="1">
      <c r="A236" s="83" t="s">
        <v>383</v>
      </c>
      <c r="B236" s="83" t="s">
        <v>374</v>
      </c>
      <c r="C236" s="83" t="s">
        <v>381</v>
      </c>
      <c r="D236" s="95" t="s">
        <v>1222</v>
      </c>
      <c r="E236" s="99" t="s">
        <v>1223</v>
      </c>
      <c r="F236" s="109">
        <v>2369039</v>
      </c>
      <c r="G236" s="110">
        <v>1021520.02</v>
      </c>
      <c r="H236" s="93">
        <f t="shared" si="6"/>
        <v>43.11959490747092</v>
      </c>
    </row>
    <row r="237" spans="1:8" ht="33" customHeight="1">
      <c r="A237" s="83" t="s">
        <v>384</v>
      </c>
      <c r="B237" s="83" t="s">
        <v>374</v>
      </c>
      <c r="C237" s="83" t="s">
        <v>385</v>
      </c>
      <c r="D237" s="95"/>
      <c r="E237" s="67" t="s">
        <v>386</v>
      </c>
      <c r="F237" s="109">
        <f>F238</f>
        <v>1742233</v>
      </c>
      <c r="G237" s="110">
        <f>G238</f>
        <v>0</v>
      </c>
      <c r="H237" s="93">
        <f t="shared" si="6"/>
        <v>0</v>
      </c>
    </row>
    <row r="238" spans="1:8" ht="51" customHeight="1">
      <c r="A238" s="83" t="s">
        <v>387</v>
      </c>
      <c r="B238" s="83" t="s">
        <v>374</v>
      </c>
      <c r="C238" s="83" t="s">
        <v>385</v>
      </c>
      <c r="D238" s="95" t="s">
        <v>1222</v>
      </c>
      <c r="E238" s="99" t="s">
        <v>1223</v>
      </c>
      <c r="F238" s="109">
        <v>1742233</v>
      </c>
      <c r="G238" s="110">
        <v>0</v>
      </c>
      <c r="H238" s="93">
        <f t="shared" si="6"/>
        <v>0</v>
      </c>
    </row>
    <row r="239" spans="1:8" ht="30.75" customHeight="1">
      <c r="A239" s="83" t="s">
        <v>388</v>
      </c>
      <c r="B239" s="83" t="s">
        <v>374</v>
      </c>
      <c r="C239" s="83" t="s">
        <v>389</v>
      </c>
      <c r="D239" s="95"/>
      <c r="E239" s="67" t="s">
        <v>390</v>
      </c>
      <c r="F239" s="109">
        <f>F240</f>
        <v>435192</v>
      </c>
      <c r="G239" s="110">
        <f>G240</f>
        <v>4500</v>
      </c>
      <c r="H239" s="93">
        <f t="shared" si="6"/>
        <v>1.0340263607786908</v>
      </c>
    </row>
    <row r="240" spans="1:8" ht="55.5" customHeight="1">
      <c r="A240" s="83" t="s">
        <v>391</v>
      </c>
      <c r="B240" s="83" t="s">
        <v>374</v>
      </c>
      <c r="C240" s="83" t="s">
        <v>389</v>
      </c>
      <c r="D240" s="95" t="s">
        <v>1222</v>
      </c>
      <c r="E240" s="99" t="s">
        <v>1223</v>
      </c>
      <c r="F240" s="109">
        <f>300000+135192</f>
        <v>435192</v>
      </c>
      <c r="G240" s="110">
        <v>4500</v>
      </c>
      <c r="H240" s="93">
        <f t="shared" si="6"/>
        <v>1.0340263607786908</v>
      </c>
    </row>
    <row r="241" spans="1:8" ht="24.75" customHeight="1">
      <c r="A241" s="83" t="s">
        <v>392</v>
      </c>
      <c r="B241" s="83" t="s">
        <v>374</v>
      </c>
      <c r="C241" s="83" t="s">
        <v>393</v>
      </c>
      <c r="D241" s="95"/>
      <c r="E241" s="67" t="s">
        <v>394</v>
      </c>
      <c r="F241" s="109">
        <f>F242</f>
        <v>237838</v>
      </c>
      <c r="G241" s="110">
        <f>G242</f>
        <v>0</v>
      </c>
      <c r="H241" s="93">
        <f t="shared" si="6"/>
        <v>0</v>
      </c>
    </row>
    <row r="242" spans="1:8" ht="38.25" customHeight="1">
      <c r="A242" s="83" t="s">
        <v>395</v>
      </c>
      <c r="B242" s="83" t="s">
        <v>374</v>
      </c>
      <c r="C242" s="83" t="s">
        <v>393</v>
      </c>
      <c r="D242" s="95" t="s">
        <v>1222</v>
      </c>
      <c r="E242" s="99" t="s">
        <v>1223</v>
      </c>
      <c r="F242" s="109">
        <v>237838</v>
      </c>
      <c r="G242" s="110">
        <v>0</v>
      </c>
      <c r="H242" s="93">
        <f t="shared" si="6"/>
        <v>0</v>
      </c>
    </row>
    <row r="243" spans="1:8" ht="39" customHeight="1">
      <c r="A243" s="83" t="s">
        <v>396</v>
      </c>
      <c r="B243" s="83" t="s">
        <v>374</v>
      </c>
      <c r="C243" s="83" t="s">
        <v>397</v>
      </c>
      <c r="D243" s="95"/>
      <c r="E243" s="67" t="s">
        <v>398</v>
      </c>
      <c r="F243" s="109">
        <f>F244</f>
        <v>262000</v>
      </c>
      <c r="G243" s="110">
        <f>G244</f>
        <v>0</v>
      </c>
      <c r="H243" s="93">
        <f t="shared" si="6"/>
        <v>0</v>
      </c>
    </row>
    <row r="244" spans="1:8" ht="51" customHeight="1">
      <c r="A244" s="83" t="s">
        <v>399</v>
      </c>
      <c r="B244" s="83" t="s">
        <v>374</v>
      </c>
      <c r="C244" s="83" t="s">
        <v>397</v>
      </c>
      <c r="D244" s="95" t="s">
        <v>1222</v>
      </c>
      <c r="E244" s="99" t="s">
        <v>1223</v>
      </c>
      <c r="F244" s="109">
        <v>262000</v>
      </c>
      <c r="G244" s="110">
        <v>0</v>
      </c>
      <c r="H244" s="93">
        <f t="shared" si="6"/>
        <v>0</v>
      </c>
    </row>
    <row r="245" spans="1:8" ht="33" customHeight="1">
      <c r="A245" s="83" t="s">
        <v>400</v>
      </c>
      <c r="B245" s="83" t="s">
        <v>374</v>
      </c>
      <c r="C245" s="83" t="s">
        <v>401</v>
      </c>
      <c r="D245" s="95"/>
      <c r="E245" s="67" t="s">
        <v>402</v>
      </c>
      <c r="F245" s="109">
        <f>F246</f>
        <v>286020</v>
      </c>
      <c r="G245" s="110">
        <f>G246</f>
        <v>61305.97</v>
      </c>
      <c r="H245" s="93">
        <f t="shared" si="6"/>
        <v>21.43415495419901</v>
      </c>
    </row>
    <row r="246" spans="1:8" ht="63" customHeight="1">
      <c r="A246" s="83" t="s">
        <v>1222</v>
      </c>
      <c r="B246" s="83" t="s">
        <v>374</v>
      </c>
      <c r="C246" s="83" t="s">
        <v>401</v>
      </c>
      <c r="D246" s="95" t="s">
        <v>1222</v>
      </c>
      <c r="E246" s="99" t="s">
        <v>1223</v>
      </c>
      <c r="F246" s="109">
        <f>293000-6980</f>
        <v>286020</v>
      </c>
      <c r="G246" s="110">
        <v>61305.97</v>
      </c>
      <c r="H246" s="93">
        <f t="shared" si="6"/>
        <v>21.43415495419901</v>
      </c>
    </row>
    <row r="247" spans="1:8" ht="36.75" customHeight="1">
      <c r="A247" s="83" t="s">
        <v>403</v>
      </c>
      <c r="B247" s="83" t="s">
        <v>374</v>
      </c>
      <c r="C247" s="83" t="s">
        <v>404</v>
      </c>
      <c r="D247" s="95"/>
      <c r="E247" s="67" t="s">
        <v>405</v>
      </c>
      <c r="F247" s="109">
        <f>F248</f>
        <v>1694513</v>
      </c>
      <c r="G247" s="110">
        <f>G248</f>
        <v>638265.35</v>
      </c>
      <c r="H247" s="93">
        <f t="shared" si="6"/>
        <v>37.666595063006305</v>
      </c>
    </row>
    <row r="248" spans="1:8" ht="48.75" customHeight="1">
      <c r="A248" s="83" t="s">
        <v>406</v>
      </c>
      <c r="B248" s="83" t="s">
        <v>374</v>
      </c>
      <c r="C248" s="83" t="s">
        <v>404</v>
      </c>
      <c r="D248" s="95" t="s">
        <v>148</v>
      </c>
      <c r="E248" s="99" t="s">
        <v>149</v>
      </c>
      <c r="F248" s="109">
        <f>1873080-178567</f>
        <v>1694513</v>
      </c>
      <c r="G248" s="110">
        <v>638265.35</v>
      </c>
      <c r="H248" s="93">
        <f t="shared" si="6"/>
        <v>37.666595063006305</v>
      </c>
    </row>
    <row r="249" spans="1:8" ht="33" customHeight="1">
      <c r="A249" s="83" t="s">
        <v>407</v>
      </c>
      <c r="B249" s="83" t="s">
        <v>374</v>
      </c>
      <c r="C249" s="83" t="s">
        <v>408</v>
      </c>
      <c r="D249" s="95"/>
      <c r="E249" s="99" t="s">
        <v>7</v>
      </c>
      <c r="F249" s="109">
        <f>F250+F251</f>
        <v>904586</v>
      </c>
      <c r="G249" s="109">
        <f>G250+G251</f>
        <v>632566.64</v>
      </c>
      <c r="H249" s="93">
        <f t="shared" si="6"/>
        <v>69.92885585229044</v>
      </c>
    </row>
    <row r="250" spans="1:8" ht="51" customHeight="1">
      <c r="A250" s="83" t="s">
        <v>409</v>
      </c>
      <c r="B250" s="83" t="s">
        <v>374</v>
      </c>
      <c r="C250" s="83" t="s">
        <v>408</v>
      </c>
      <c r="D250" s="95" t="s">
        <v>1222</v>
      </c>
      <c r="E250" s="99" t="s">
        <v>1223</v>
      </c>
      <c r="F250" s="109">
        <v>726019</v>
      </c>
      <c r="G250" s="110">
        <v>453999.64</v>
      </c>
      <c r="H250" s="93">
        <f t="shared" si="6"/>
        <v>62.532749142928765</v>
      </c>
    </row>
    <row r="251" spans="1:8" ht="69" customHeight="1">
      <c r="A251" s="83" t="s">
        <v>410</v>
      </c>
      <c r="B251" s="83" t="s">
        <v>374</v>
      </c>
      <c r="C251" s="83" t="s">
        <v>408</v>
      </c>
      <c r="D251" s="95" t="s">
        <v>148</v>
      </c>
      <c r="E251" s="134" t="s">
        <v>149</v>
      </c>
      <c r="F251" s="109">
        <v>178567</v>
      </c>
      <c r="G251" s="110">
        <v>178567</v>
      </c>
      <c r="H251" s="93">
        <f t="shared" si="6"/>
        <v>100</v>
      </c>
    </row>
    <row r="252" spans="1:8" ht="34.5" customHeight="1">
      <c r="A252" s="83" t="s">
        <v>411</v>
      </c>
      <c r="B252" s="83" t="s">
        <v>374</v>
      </c>
      <c r="C252" s="83" t="s">
        <v>412</v>
      </c>
      <c r="D252" s="95"/>
      <c r="E252" s="99" t="s">
        <v>413</v>
      </c>
      <c r="F252" s="110">
        <f>F253+F255+F258+F260</f>
        <v>5965650</v>
      </c>
      <c r="G252" s="110">
        <f>G253+G255+G258+G260</f>
        <v>580000</v>
      </c>
      <c r="H252" s="93">
        <f t="shared" si="6"/>
        <v>9.72232698867684</v>
      </c>
    </row>
    <row r="253" spans="1:8" ht="34.5" customHeight="1">
      <c r="A253" s="83" t="s">
        <v>414</v>
      </c>
      <c r="B253" s="83" t="s">
        <v>374</v>
      </c>
      <c r="C253" s="83" t="s">
        <v>415</v>
      </c>
      <c r="D253" s="95"/>
      <c r="E253" s="99" t="s">
        <v>416</v>
      </c>
      <c r="F253" s="109">
        <f>F254</f>
        <v>4765650</v>
      </c>
      <c r="G253" s="110">
        <f>G254</f>
        <v>0</v>
      </c>
      <c r="H253" s="93">
        <f t="shared" si="6"/>
        <v>0</v>
      </c>
    </row>
    <row r="254" spans="1:8" ht="54.75" customHeight="1">
      <c r="A254" s="83" t="s">
        <v>417</v>
      </c>
      <c r="B254" s="83" t="s">
        <v>374</v>
      </c>
      <c r="C254" s="83" t="s">
        <v>415</v>
      </c>
      <c r="D254" s="95" t="s">
        <v>1222</v>
      </c>
      <c r="E254" s="99" t="s">
        <v>1223</v>
      </c>
      <c r="F254" s="109">
        <v>4765650</v>
      </c>
      <c r="G254" s="110">
        <v>0</v>
      </c>
      <c r="H254" s="93">
        <f t="shared" si="6"/>
        <v>0</v>
      </c>
    </row>
    <row r="255" spans="1:8" ht="37.5" customHeight="1">
      <c r="A255" s="83" t="s">
        <v>418</v>
      </c>
      <c r="B255" s="83" t="s">
        <v>374</v>
      </c>
      <c r="C255" s="83" t="s">
        <v>419</v>
      </c>
      <c r="D255" s="95"/>
      <c r="E255" s="99" t="s">
        <v>420</v>
      </c>
      <c r="F255" s="109">
        <f>SUM(F256:F257)</f>
        <v>620000</v>
      </c>
      <c r="G255" s="109">
        <f>SUM(G256:G257)</f>
        <v>0</v>
      </c>
      <c r="H255" s="93">
        <f t="shared" si="6"/>
        <v>0</v>
      </c>
    </row>
    <row r="256" spans="1:8" ht="50.25" customHeight="1">
      <c r="A256" s="83" t="s">
        <v>421</v>
      </c>
      <c r="B256" s="83" t="s">
        <v>374</v>
      </c>
      <c r="C256" s="83" t="s">
        <v>419</v>
      </c>
      <c r="D256" s="95" t="s">
        <v>1222</v>
      </c>
      <c r="E256" s="99" t="s">
        <v>1223</v>
      </c>
      <c r="F256" s="109">
        <v>350000</v>
      </c>
      <c r="G256" s="110">
        <v>0</v>
      </c>
      <c r="H256" s="93">
        <f t="shared" si="6"/>
        <v>0</v>
      </c>
    </row>
    <row r="257" spans="1:8" ht="69" customHeight="1">
      <c r="A257" s="83" t="s">
        <v>422</v>
      </c>
      <c r="B257" s="83" t="s">
        <v>374</v>
      </c>
      <c r="C257" s="83" t="s">
        <v>419</v>
      </c>
      <c r="D257" s="95" t="s">
        <v>148</v>
      </c>
      <c r="E257" s="134" t="s">
        <v>149</v>
      </c>
      <c r="F257" s="109">
        <v>270000</v>
      </c>
      <c r="G257" s="110">
        <v>0</v>
      </c>
      <c r="H257" s="93">
        <f t="shared" si="6"/>
        <v>0</v>
      </c>
    </row>
    <row r="258" spans="1:8" ht="51.75" customHeight="1">
      <c r="A258" s="83" t="s">
        <v>423</v>
      </c>
      <c r="B258" s="83" t="s">
        <v>374</v>
      </c>
      <c r="C258" s="83" t="s">
        <v>424</v>
      </c>
      <c r="D258" s="95"/>
      <c r="E258" s="99" t="s">
        <v>425</v>
      </c>
      <c r="F258" s="109">
        <f>F259</f>
        <v>150000</v>
      </c>
      <c r="G258" s="110">
        <f>G259</f>
        <v>150000</v>
      </c>
      <c r="H258" s="93">
        <f t="shared" si="6"/>
        <v>100</v>
      </c>
    </row>
    <row r="259" spans="1:8" ht="35.25" customHeight="1">
      <c r="A259" s="83" t="s">
        <v>426</v>
      </c>
      <c r="B259" s="83" t="s">
        <v>374</v>
      </c>
      <c r="C259" s="83" t="s">
        <v>424</v>
      </c>
      <c r="D259" s="95" t="s">
        <v>1222</v>
      </c>
      <c r="E259" s="99" t="s">
        <v>1223</v>
      </c>
      <c r="F259" s="109">
        <v>150000</v>
      </c>
      <c r="G259" s="110">
        <v>150000</v>
      </c>
      <c r="H259" s="93">
        <f t="shared" si="6"/>
        <v>100</v>
      </c>
    </row>
    <row r="260" spans="1:8" ht="35.25" customHeight="1">
      <c r="A260" s="83" t="s">
        <v>427</v>
      </c>
      <c r="B260" s="83" t="s">
        <v>374</v>
      </c>
      <c r="C260" s="83" t="s">
        <v>428</v>
      </c>
      <c r="D260" s="95"/>
      <c r="E260" s="99" t="s">
        <v>7</v>
      </c>
      <c r="F260" s="109">
        <f>F261</f>
        <v>430000</v>
      </c>
      <c r="G260" s="110">
        <f>G261</f>
        <v>430000</v>
      </c>
      <c r="H260" s="93">
        <f t="shared" si="6"/>
        <v>100</v>
      </c>
    </row>
    <row r="261" spans="1:8" ht="35.25" customHeight="1">
      <c r="A261" s="83" t="s">
        <v>429</v>
      </c>
      <c r="B261" s="83" t="s">
        <v>374</v>
      </c>
      <c r="C261" s="83" t="s">
        <v>428</v>
      </c>
      <c r="D261" s="95" t="s">
        <v>1222</v>
      </c>
      <c r="E261" s="99" t="s">
        <v>1223</v>
      </c>
      <c r="F261" s="109">
        <v>430000</v>
      </c>
      <c r="G261" s="110">
        <v>430000</v>
      </c>
      <c r="H261" s="93">
        <f t="shared" si="6"/>
        <v>100</v>
      </c>
    </row>
    <row r="262" spans="1:8" ht="35.25" customHeight="1">
      <c r="A262" s="83" t="s">
        <v>430</v>
      </c>
      <c r="B262" s="84" t="s">
        <v>431</v>
      </c>
      <c r="C262" s="84"/>
      <c r="D262" s="85"/>
      <c r="E262" s="89" t="s">
        <v>432</v>
      </c>
      <c r="F262" s="106">
        <f>F263+F271</f>
        <v>957600</v>
      </c>
      <c r="G262" s="105">
        <f>G263+G271</f>
        <v>634001.68</v>
      </c>
      <c r="H262" s="88">
        <f t="shared" si="6"/>
        <v>66.20736006683376</v>
      </c>
    </row>
    <row r="263" spans="1:8" ht="78" customHeight="1">
      <c r="A263" s="83" t="s">
        <v>433</v>
      </c>
      <c r="B263" s="83" t="s">
        <v>431</v>
      </c>
      <c r="C263" s="83" t="s">
        <v>321</v>
      </c>
      <c r="D263" s="85"/>
      <c r="E263" s="67" t="s">
        <v>322</v>
      </c>
      <c r="F263" s="107">
        <f>F264</f>
        <v>936600</v>
      </c>
      <c r="G263" s="108">
        <f>G264</f>
        <v>634001.68</v>
      </c>
      <c r="H263" s="93">
        <f aca="true" t="shared" si="7" ref="H263:H326">G263/F263*100</f>
        <v>67.69183002348922</v>
      </c>
    </row>
    <row r="264" spans="1:8" ht="35.25" customHeight="1">
      <c r="A264" s="83" t="s">
        <v>434</v>
      </c>
      <c r="B264" s="83" t="s">
        <v>431</v>
      </c>
      <c r="C264" s="83" t="s">
        <v>435</v>
      </c>
      <c r="D264" s="85"/>
      <c r="E264" s="67" t="s">
        <v>436</v>
      </c>
      <c r="F264" s="107">
        <f>F265+F267+F269</f>
        <v>936600</v>
      </c>
      <c r="G264" s="107">
        <f>G265+G267+G269</f>
        <v>634001.68</v>
      </c>
      <c r="H264" s="93">
        <f t="shared" si="7"/>
        <v>67.69183002348922</v>
      </c>
    </row>
    <row r="265" spans="1:8" ht="84.75" customHeight="1">
      <c r="A265" s="83" t="s">
        <v>437</v>
      </c>
      <c r="B265" s="83" t="s">
        <v>431</v>
      </c>
      <c r="C265" s="83" t="s">
        <v>438</v>
      </c>
      <c r="D265" s="95"/>
      <c r="E265" s="67" t="s">
        <v>439</v>
      </c>
      <c r="F265" s="107">
        <f>F266</f>
        <v>802000</v>
      </c>
      <c r="G265" s="108">
        <f>G266</f>
        <v>568601.68</v>
      </c>
      <c r="H265" s="93">
        <f t="shared" si="7"/>
        <v>70.8979650872818</v>
      </c>
    </row>
    <row r="266" spans="1:8" ht="35.25" customHeight="1">
      <c r="A266" s="83" t="s">
        <v>440</v>
      </c>
      <c r="B266" s="83" t="s">
        <v>431</v>
      </c>
      <c r="C266" s="83" t="s">
        <v>438</v>
      </c>
      <c r="D266" s="95" t="s">
        <v>1222</v>
      </c>
      <c r="E266" s="99" t="s">
        <v>1223</v>
      </c>
      <c r="F266" s="107">
        <f>802000</f>
        <v>802000</v>
      </c>
      <c r="G266" s="108">
        <v>568601.68</v>
      </c>
      <c r="H266" s="93">
        <f t="shared" si="7"/>
        <v>70.8979650872818</v>
      </c>
    </row>
    <row r="267" spans="1:8" ht="35.25" customHeight="1">
      <c r="A267" s="83" t="s">
        <v>441</v>
      </c>
      <c r="B267" s="83" t="s">
        <v>431</v>
      </c>
      <c r="C267" s="83" t="s">
        <v>442</v>
      </c>
      <c r="D267" s="95"/>
      <c r="E267" s="99" t="s">
        <v>7</v>
      </c>
      <c r="F267" s="107">
        <f>F268</f>
        <v>39600</v>
      </c>
      <c r="G267" s="108">
        <f>G268</f>
        <v>36900</v>
      </c>
      <c r="H267" s="93">
        <f t="shared" si="7"/>
        <v>93.18181818181817</v>
      </c>
    </row>
    <row r="268" spans="1:8" ht="35.25" customHeight="1">
      <c r="A268" s="83" t="s">
        <v>443</v>
      </c>
      <c r="B268" s="83" t="s">
        <v>431</v>
      </c>
      <c r="C268" s="83" t="s">
        <v>442</v>
      </c>
      <c r="D268" s="95" t="s">
        <v>1222</v>
      </c>
      <c r="E268" s="99" t="s">
        <v>1223</v>
      </c>
      <c r="F268" s="107">
        <v>39600</v>
      </c>
      <c r="G268" s="108">
        <v>36900</v>
      </c>
      <c r="H268" s="93">
        <f t="shared" si="7"/>
        <v>93.18181818181817</v>
      </c>
    </row>
    <row r="269" spans="1:8" ht="35.25" customHeight="1">
      <c r="A269" s="83" t="s">
        <v>444</v>
      </c>
      <c r="B269" s="83" t="s">
        <v>431</v>
      </c>
      <c r="C269" s="83" t="s">
        <v>445</v>
      </c>
      <c r="D269" s="95"/>
      <c r="E269" s="135" t="s">
        <v>446</v>
      </c>
      <c r="F269" s="107">
        <f>F270</f>
        <v>95000</v>
      </c>
      <c r="G269" s="107">
        <f>G270</f>
        <v>28500</v>
      </c>
      <c r="H269" s="93">
        <f t="shared" si="7"/>
        <v>30</v>
      </c>
    </row>
    <row r="270" spans="1:8" ht="35.25" customHeight="1">
      <c r="A270" s="83" t="s">
        <v>447</v>
      </c>
      <c r="B270" s="83" t="s">
        <v>431</v>
      </c>
      <c r="C270" s="83" t="s">
        <v>445</v>
      </c>
      <c r="D270" s="95" t="s">
        <v>1222</v>
      </c>
      <c r="E270" s="99" t="s">
        <v>1223</v>
      </c>
      <c r="F270" s="107">
        <v>95000</v>
      </c>
      <c r="G270" s="108">
        <v>28500</v>
      </c>
      <c r="H270" s="93">
        <f t="shared" si="7"/>
        <v>30</v>
      </c>
    </row>
    <row r="271" spans="1:8" ht="97.5" customHeight="1">
      <c r="A271" s="83" t="s">
        <v>448</v>
      </c>
      <c r="B271" s="83" t="s">
        <v>431</v>
      </c>
      <c r="C271" s="83" t="s">
        <v>449</v>
      </c>
      <c r="D271" s="95"/>
      <c r="E271" s="99" t="s">
        <v>450</v>
      </c>
      <c r="F271" s="107">
        <f>F272</f>
        <v>21000</v>
      </c>
      <c r="G271" s="108">
        <f>G272</f>
        <v>0</v>
      </c>
      <c r="H271" s="93">
        <f t="shared" si="7"/>
        <v>0</v>
      </c>
    </row>
    <row r="272" spans="1:8" ht="65.25" customHeight="1">
      <c r="A272" s="83" t="s">
        <v>451</v>
      </c>
      <c r="B272" s="83" t="s">
        <v>431</v>
      </c>
      <c r="C272" s="83" t="s">
        <v>449</v>
      </c>
      <c r="D272" s="95" t="s">
        <v>148</v>
      </c>
      <c r="E272" s="99" t="s">
        <v>149</v>
      </c>
      <c r="F272" s="107">
        <v>21000</v>
      </c>
      <c r="G272" s="108">
        <v>0</v>
      </c>
      <c r="H272" s="93">
        <f t="shared" si="7"/>
        <v>0</v>
      </c>
    </row>
    <row r="273" spans="1:8" ht="23.25" customHeight="1">
      <c r="A273" s="83" t="s">
        <v>452</v>
      </c>
      <c r="B273" s="84" t="s">
        <v>453</v>
      </c>
      <c r="C273" s="84"/>
      <c r="D273" s="85"/>
      <c r="E273" s="89" t="s">
        <v>454</v>
      </c>
      <c r="F273" s="106">
        <f aca="true" t="shared" si="8" ref="F273:G275">F274</f>
        <v>235450</v>
      </c>
      <c r="G273" s="105">
        <f t="shared" si="8"/>
        <v>15026</v>
      </c>
      <c r="H273" s="88">
        <f t="shared" si="7"/>
        <v>6.381822042896582</v>
      </c>
    </row>
    <row r="274" spans="1:8" ht="31.5">
      <c r="A274" s="83" t="s">
        <v>455</v>
      </c>
      <c r="B274" s="84" t="s">
        <v>456</v>
      </c>
      <c r="C274" s="84"/>
      <c r="D274" s="85"/>
      <c r="E274" s="89" t="s">
        <v>457</v>
      </c>
      <c r="F274" s="106">
        <f t="shared" si="8"/>
        <v>235450</v>
      </c>
      <c r="G274" s="105">
        <f t="shared" si="8"/>
        <v>15026</v>
      </c>
      <c r="H274" s="88">
        <f t="shared" si="7"/>
        <v>6.381822042896582</v>
      </c>
    </row>
    <row r="275" spans="1:8" ht="63">
      <c r="A275" s="83" t="s">
        <v>458</v>
      </c>
      <c r="B275" s="83" t="s">
        <v>456</v>
      </c>
      <c r="C275" s="83" t="s">
        <v>154</v>
      </c>
      <c r="D275" s="95"/>
      <c r="E275" s="67" t="s">
        <v>155</v>
      </c>
      <c r="F275" s="107">
        <f t="shared" si="8"/>
        <v>235450</v>
      </c>
      <c r="G275" s="108">
        <f t="shared" si="8"/>
        <v>15026</v>
      </c>
      <c r="H275" s="93">
        <f t="shared" si="7"/>
        <v>6.381822042896582</v>
      </c>
    </row>
    <row r="276" spans="1:8" ht="35.25" customHeight="1">
      <c r="A276" s="83" t="s">
        <v>459</v>
      </c>
      <c r="B276" s="83" t="s">
        <v>456</v>
      </c>
      <c r="C276" s="83" t="s">
        <v>460</v>
      </c>
      <c r="D276" s="95"/>
      <c r="E276" s="67" t="s">
        <v>461</v>
      </c>
      <c r="F276" s="109">
        <f>F277+F279+F281+F283+F285+F287</f>
        <v>235450</v>
      </c>
      <c r="G276" s="110">
        <f>G277+G279+G281+G283+G285+G287</f>
        <v>15026</v>
      </c>
      <c r="H276" s="93">
        <f t="shared" si="7"/>
        <v>6.381822042896582</v>
      </c>
    </row>
    <row r="277" spans="1:8" ht="35.25" customHeight="1">
      <c r="A277" s="83" t="s">
        <v>462</v>
      </c>
      <c r="B277" s="83" t="s">
        <v>456</v>
      </c>
      <c r="C277" s="83" t="s">
        <v>463</v>
      </c>
      <c r="D277" s="95"/>
      <c r="E277" s="67" t="s">
        <v>464</v>
      </c>
      <c r="F277" s="109">
        <f>F278</f>
        <v>200000</v>
      </c>
      <c r="G277" s="110">
        <f>G278</f>
        <v>0</v>
      </c>
      <c r="H277" s="93">
        <f t="shared" si="7"/>
        <v>0</v>
      </c>
    </row>
    <row r="278" spans="1:8" ht="62.25" customHeight="1">
      <c r="A278" s="83" t="s">
        <v>465</v>
      </c>
      <c r="B278" s="83" t="s">
        <v>456</v>
      </c>
      <c r="C278" s="83" t="s">
        <v>463</v>
      </c>
      <c r="D278" s="95" t="s">
        <v>1222</v>
      </c>
      <c r="E278" s="99" t="s">
        <v>1223</v>
      </c>
      <c r="F278" s="109">
        <v>200000</v>
      </c>
      <c r="G278" s="110">
        <v>0</v>
      </c>
      <c r="H278" s="93">
        <f t="shared" si="7"/>
        <v>0</v>
      </c>
    </row>
    <row r="279" spans="1:8" ht="94.5">
      <c r="A279" s="83" t="s">
        <v>466</v>
      </c>
      <c r="B279" s="83" t="s">
        <v>456</v>
      </c>
      <c r="C279" s="83" t="s">
        <v>467</v>
      </c>
      <c r="D279" s="95"/>
      <c r="E279" s="67" t="s">
        <v>468</v>
      </c>
      <c r="F279" s="109">
        <f>F280</f>
        <v>3000</v>
      </c>
      <c r="G279" s="110">
        <f>G280</f>
        <v>2880</v>
      </c>
      <c r="H279" s="93">
        <f t="shared" si="7"/>
        <v>96</v>
      </c>
    </row>
    <row r="280" spans="1:8" ht="48.75" customHeight="1">
      <c r="A280" s="83" t="s">
        <v>469</v>
      </c>
      <c r="B280" s="83" t="s">
        <v>456</v>
      </c>
      <c r="C280" s="83" t="s">
        <v>467</v>
      </c>
      <c r="D280" s="95" t="s">
        <v>1222</v>
      </c>
      <c r="E280" s="99" t="s">
        <v>1223</v>
      </c>
      <c r="F280" s="109">
        <v>3000</v>
      </c>
      <c r="G280" s="110">
        <v>2880</v>
      </c>
      <c r="H280" s="93">
        <f t="shared" si="7"/>
        <v>96</v>
      </c>
    </row>
    <row r="281" spans="1:8" ht="50.25" customHeight="1">
      <c r="A281" s="83" t="s">
        <v>470</v>
      </c>
      <c r="B281" s="83" t="s">
        <v>456</v>
      </c>
      <c r="C281" s="83" t="s">
        <v>471</v>
      </c>
      <c r="D281" s="95"/>
      <c r="E281" s="67" t="s">
        <v>472</v>
      </c>
      <c r="F281" s="109">
        <f>F282</f>
        <v>10500</v>
      </c>
      <c r="G281" s="110">
        <f>G282</f>
        <v>0</v>
      </c>
      <c r="H281" s="93">
        <f t="shared" si="7"/>
        <v>0</v>
      </c>
    </row>
    <row r="282" spans="1:8" s="79" customFormat="1" ht="49.5" customHeight="1">
      <c r="A282" s="83" t="s">
        <v>473</v>
      </c>
      <c r="B282" s="83" t="s">
        <v>456</v>
      </c>
      <c r="C282" s="83" t="s">
        <v>471</v>
      </c>
      <c r="D282" s="95" t="s">
        <v>1222</v>
      </c>
      <c r="E282" s="99" t="s">
        <v>1223</v>
      </c>
      <c r="F282" s="109">
        <v>10500</v>
      </c>
      <c r="G282" s="110">
        <v>0</v>
      </c>
      <c r="H282" s="93">
        <f t="shared" si="7"/>
        <v>0</v>
      </c>
    </row>
    <row r="283" spans="1:8" s="79" customFormat="1" ht="33.75" customHeight="1">
      <c r="A283" s="83" t="s">
        <v>474</v>
      </c>
      <c r="B283" s="83" t="s">
        <v>456</v>
      </c>
      <c r="C283" s="83" t="s">
        <v>475</v>
      </c>
      <c r="D283" s="95"/>
      <c r="E283" s="67" t="s">
        <v>476</v>
      </c>
      <c r="F283" s="109">
        <f>F284</f>
        <v>3150</v>
      </c>
      <c r="G283" s="110">
        <f>G284</f>
        <v>3146</v>
      </c>
      <c r="H283" s="93">
        <f t="shared" si="7"/>
        <v>99.87301587301587</v>
      </c>
    </row>
    <row r="284" spans="1:8" s="79" customFormat="1" ht="34.5" customHeight="1">
      <c r="A284" s="83" t="s">
        <v>477</v>
      </c>
      <c r="B284" s="83" t="s">
        <v>456</v>
      </c>
      <c r="C284" s="83" t="s">
        <v>475</v>
      </c>
      <c r="D284" s="95" t="s">
        <v>1222</v>
      </c>
      <c r="E284" s="99" t="s">
        <v>1223</v>
      </c>
      <c r="F284" s="109">
        <v>3150</v>
      </c>
      <c r="G284" s="110">
        <v>3146</v>
      </c>
      <c r="H284" s="93">
        <f t="shared" si="7"/>
        <v>99.87301587301587</v>
      </c>
    </row>
    <row r="285" spans="1:8" s="79" customFormat="1" ht="33.75" customHeight="1">
      <c r="A285" s="83" t="s">
        <v>478</v>
      </c>
      <c r="B285" s="83" t="s">
        <v>456</v>
      </c>
      <c r="C285" s="83" t="s">
        <v>479</v>
      </c>
      <c r="D285" s="95"/>
      <c r="E285" s="67" t="s">
        <v>480</v>
      </c>
      <c r="F285" s="109">
        <f>F286</f>
        <v>9800</v>
      </c>
      <c r="G285" s="110">
        <f>G286</f>
        <v>0</v>
      </c>
      <c r="H285" s="93">
        <f t="shared" si="7"/>
        <v>0</v>
      </c>
    </row>
    <row r="286" spans="1:8" s="112" customFormat="1" ht="32.25" customHeight="1">
      <c r="A286" s="83" t="s">
        <v>481</v>
      </c>
      <c r="B286" s="83" t="s">
        <v>456</v>
      </c>
      <c r="C286" s="83" t="s">
        <v>479</v>
      </c>
      <c r="D286" s="95" t="s">
        <v>1222</v>
      </c>
      <c r="E286" s="99" t="s">
        <v>1223</v>
      </c>
      <c r="F286" s="109">
        <f>18800-9000</f>
        <v>9800</v>
      </c>
      <c r="G286" s="110">
        <v>0</v>
      </c>
      <c r="H286" s="93">
        <f t="shared" si="7"/>
        <v>0</v>
      </c>
    </row>
    <row r="287" spans="1:8" s="112" customFormat="1" ht="32.25" customHeight="1">
      <c r="A287" s="83" t="s">
        <v>482</v>
      </c>
      <c r="B287" s="83" t="s">
        <v>456</v>
      </c>
      <c r="C287" s="83" t="s">
        <v>483</v>
      </c>
      <c r="D287" s="95"/>
      <c r="E287" s="99" t="s">
        <v>7</v>
      </c>
      <c r="F287" s="109">
        <f>F288</f>
        <v>9000</v>
      </c>
      <c r="G287" s="110">
        <f>G288</f>
        <v>9000</v>
      </c>
      <c r="H287" s="93">
        <f t="shared" si="7"/>
        <v>100</v>
      </c>
    </row>
    <row r="288" spans="1:8" s="112" customFormat="1" ht="32.25" customHeight="1">
      <c r="A288" s="83" t="s">
        <v>484</v>
      </c>
      <c r="B288" s="83" t="s">
        <v>456</v>
      </c>
      <c r="C288" s="83" t="s">
        <v>483</v>
      </c>
      <c r="D288" s="95" t="s">
        <v>1222</v>
      </c>
      <c r="E288" s="99" t="s">
        <v>1223</v>
      </c>
      <c r="F288" s="109">
        <v>9000</v>
      </c>
      <c r="G288" s="110">
        <v>9000</v>
      </c>
      <c r="H288" s="93">
        <f t="shared" si="7"/>
        <v>100</v>
      </c>
    </row>
    <row r="289" spans="1:8" s="112" customFormat="1" ht="21" customHeight="1">
      <c r="A289" s="83" t="s">
        <v>485</v>
      </c>
      <c r="B289" s="84" t="s">
        <v>486</v>
      </c>
      <c r="C289" s="84"/>
      <c r="D289" s="85"/>
      <c r="E289" s="89" t="s">
        <v>487</v>
      </c>
      <c r="F289" s="87">
        <f>F290+F310+F363+F388</f>
        <v>331196431.41</v>
      </c>
      <c r="G289" s="87">
        <f>G290+G310+G363+G388</f>
        <v>129627077.42999998</v>
      </c>
      <c r="H289" s="88">
        <f t="shared" si="7"/>
        <v>39.139032047579626</v>
      </c>
    </row>
    <row r="290" spans="1:9" s="112" customFormat="1" ht="27" customHeight="1">
      <c r="A290" s="83" t="s">
        <v>488</v>
      </c>
      <c r="B290" s="84" t="s">
        <v>489</v>
      </c>
      <c r="C290" s="84"/>
      <c r="D290" s="85"/>
      <c r="E290" s="89" t="s">
        <v>490</v>
      </c>
      <c r="F290" s="106">
        <f>F291</f>
        <v>162484256.46</v>
      </c>
      <c r="G290" s="105">
        <f>G291</f>
        <v>42504688.58</v>
      </c>
      <c r="H290" s="88">
        <f t="shared" si="7"/>
        <v>26.15926583044906</v>
      </c>
      <c r="I290" s="136"/>
    </row>
    <row r="291" spans="1:9" s="90" customFormat="1" ht="49.5" customHeight="1">
      <c r="A291" s="83" t="s">
        <v>491</v>
      </c>
      <c r="B291" s="83" t="s">
        <v>489</v>
      </c>
      <c r="C291" s="83" t="s">
        <v>492</v>
      </c>
      <c r="D291" s="85"/>
      <c r="E291" s="67" t="s">
        <v>493</v>
      </c>
      <c r="F291" s="107">
        <f>F292+F302</f>
        <v>162484256.46</v>
      </c>
      <c r="G291" s="108">
        <f>G292+G302</f>
        <v>42504688.58</v>
      </c>
      <c r="H291" s="93">
        <f t="shared" si="7"/>
        <v>26.15926583044906</v>
      </c>
      <c r="I291" s="137"/>
    </row>
    <row r="292" spans="1:8" s="90" customFormat="1" ht="33" customHeight="1">
      <c r="A292" s="83" t="s">
        <v>494</v>
      </c>
      <c r="B292" s="83" t="s">
        <v>489</v>
      </c>
      <c r="C292" s="83" t="s">
        <v>495</v>
      </c>
      <c r="D292" s="85"/>
      <c r="E292" s="67" t="s">
        <v>496</v>
      </c>
      <c r="F292" s="107">
        <f>F293+F297+F295</f>
        <v>81683548.41000001</v>
      </c>
      <c r="G292" s="108">
        <f>G293+G297+G295</f>
        <v>42504688.58</v>
      </c>
      <c r="H292" s="93">
        <f t="shared" si="7"/>
        <v>52.03580085264319</v>
      </c>
    </row>
    <row r="293" spans="1:8" s="90" customFormat="1" ht="62.25" customHeight="1">
      <c r="A293" s="83" t="s">
        <v>497</v>
      </c>
      <c r="B293" s="83" t="s">
        <v>489</v>
      </c>
      <c r="C293" s="83" t="s">
        <v>498</v>
      </c>
      <c r="D293" s="95"/>
      <c r="E293" s="67" t="s">
        <v>499</v>
      </c>
      <c r="F293" s="109">
        <f>F294</f>
        <v>34581708.74</v>
      </c>
      <c r="G293" s="110">
        <f>G294</f>
        <v>15785848.91</v>
      </c>
      <c r="H293" s="93">
        <f t="shared" si="7"/>
        <v>45.64797254145169</v>
      </c>
    </row>
    <row r="294" spans="1:8" s="90" customFormat="1" ht="24.75" customHeight="1">
      <c r="A294" s="83" t="s">
        <v>500</v>
      </c>
      <c r="B294" s="83" t="s">
        <v>489</v>
      </c>
      <c r="C294" s="83" t="s">
        <v>498</v>
      </c>
      <c r="D294" s="95" t="s">
        <v>62</v>
      </c>
      <c r="E294" s="67" t="s">
        <v>63</v>
      </c>
      <c r="F294" s="109">
        <v>34581708.74</v>
      </c>
      <c r="G294" s="110">
        <v>15785848.91</v>
      </c>
      <c r="H294" s="93">
        <f t="shared" si="7"/>
        <v>45.64797254145169</v>
      </c>
    </row>
    <row r="295" spans="1:8" s="90" customFormat="1" ht="34.5" customHeight="1">
      <c r="A295" s="83" t="s">
        <v>501</v>
      </c>
      <c r="B295" s="83" t="s">
        <v>489</v>
      </c>
      <c r="C295" s="83" t="s">
        <v>502</v>
      </c>
      <c r="D295" s="95"/>
      <c r="E295" s="67" t="s">
        <v>1225</v>
      </c>
      <c r="F295" s="109">
        <f>F296</f>
        <v>422839.67</v>
      </c>
      <c r="G295" s="110">
        <f>G296</f>
        <v>422839.67</v>
      </c>
      <c r="H295" s="93">
        <f t="shared" si="7"/>
        <v>100</v>
      </c>
    </row>
    <row r="296" spans="1:8" ht="20.25" customHeight="1">
      <c r="A296" s="83" t="s">
        <v>503</v>
      </c>
      <c r="B296" s="83" t="s">
        <v>489</v>
      </c>
      <c r="C296" s="83" t="s">
        <v>502</v>
      </c>
      <c r="D296" s="95" t="s">
        <v>62</v>
      </c>
      <c r="E296" s="67" t="s">
        <v>63</v>
      </c>
      <c r="F296" s="109">
        <v>422839.67</v>
      </c>
      <c r="G296" s="109">
        <v>422839.67</v>
      </c>
      <c r="H296" s="93">
        <f t="shared" si="7"/>
        <v>100</v>
      </c>
    </row>
    <row r="297" spans="1:8" ht="78.75">
      <c r="A297" s="83" t="s">
        <v>504</v>
      </c>
      <c r="B297" s="83" t="s">
        <v>489</v>
      </c>
      <c r="C297" s="83" t="s">
        <v>505</v>
      </c>
      <c r="D297" s="95"/>
      <c r="E297" s="67" t="s">
        <v>506</v>
      </c>
      <c r="F297" s="109">
        <f>F298+F300</f>
        <v>46679000</v>
      </c>
      <c r="G297" s="110">
        <f>G298+G300</f>
        <v>26296000</v>
      </c>
      <c r="H297" s="93">
        <f t="shared" si="7"/>
        <v>56.333683240857766</v>
      </c>
    </row>
    <row r="298" spans="1:8" ht="110.25">
      <c r="A298" s="83" t="s">
        <v>507</v>
      </c>
      <c r="B298" s="83" t="s">
        <v>489</v>
      </c>
      <c r="C298" s="83" t="s">
        <v>508</v>
      </c>
      <c r="D298" s="95"/>
      <c r="E298" s="67" t="s">
        <v>509</v>
      </c>
      <c r="F298" s="109">
        <f>SUM(F299:F299)</f>
        <v>45902000</v>
      </c>
      <c r="G298" s="110">
        <f>SUM(G299:G299)</f>
        <v>25907000</v>
      </c>
      <c r="H298" s="93">
        <f t="shared" si="7"/>
        <v>56.43980654437715</v>
      </c>
    </row>
    <row r="299" spans="1:8" ht="22.5" customHeight="1">
      <c r="A299" s="83" t="s">
        <v>510</v>
      </c>
      <c r="B299" s="83" t="s">
        <v>489</v>
      </c>
      <c r="C299" s="83" t="s">
        <v>508</v>
      </c>
      <c r="D299" s="95" t="s">
        <v>62</v>
      </c>
      <c r="E299" s="67" t="s">
        <v>63</v>
      </c>
      <c r="F299" s="109">
        <v>45902000</v>
      </c>
      <c r="G299" s="110">
        <v>25907000</v>
      </c>
      <c r="H299" s="93">
        <f t="shared" si="7"/>
        <v>56.43980654437715</v>
      </c>
    </row>
    <row r="300" spans="1:8" s="79" customFormat="1" ht="129" customHeight="1">
      <c r="A300" s="83" t="s">
        <v>511</v>
      </c>
      <c r="B300" s="83" t="s">
        <v>489</v>
      </c>
      <c r="C300" s="83" t="s">
        <v>512</v>
      </c>
      <c r="D300" s="95"/>
      <c r="E300" s="67" t="s">
        <v>513</v>
      </c>
      <c r="F300" s="109">
        <f>SUM(F301:F301)</f>
        <v>777000</v>
      </c>
      <c r="G300" s="110">
        <f>SUM(G301:G301)</f>
        <v>389000</v>
      </c>
      <c r="H300" s="93">
        <f t="shared" si="7"/>
        <v>50.06435006435006</v>
      </c>
    </row>
    <row r="301" spans="1:8" s="90" customFormat="1" ht="20.25" customHeight="1">
      <c r="A301" s="83" t="s">
        <v>514</v>
      </c>
      <c r="B301" s="83" t="s">
        <v>489</v>
      </c>
      <c r="C301" s="83" t="s">
        <v>512</v>
      </c>
      <c r="D301" s="95" t="s">
        <v>62</v>
      </c>
      <c r="E301" s="67" t="s">
        <v>63</v>
      </c>
      <c r="F301" s="109">
        <v>777000</v>
      </c>
      <c r="G301" s="110">
        <v>389000</v>
      </c>
      <c r="H301" s="93">
        <f t="shared" si="7"/>
        <v>50.06435006435006</v>
      </c>
    </row>
    <row r="302" spans="1:9" s="90" customFormat="1" ht="63" customHeight="1">
      <c r="A302" s="83" t="s">
        <v>515</v>
      </c>
      <c r="B302" s="83" t="s">
        <v>489</v>
      </c>
      <c r="C302" s="83" t="s">
        <v>516</v>
      </c>
      <c r="D302" s="95"/>
      <c r="E302" s="67" t="s">
        <v>517</v>
      </c>
      <c r="F302" s="109">
        <f>F303+F305+F308</f>
        <v>80800708.05</v>
      </c>
      <c r="G302" s="109">
        <f>G303+G305+G308</f>
        <v>0</v>
      </c>
      <c r="H302" s="93">
        <f t="shared" si="7"/>
        <v>0</v>
      </c>
      <c r="I302" s="137"/>
    </row>
    <row r="303" spans="1:8" s="90" customFormat="1" ht="36" customHeight="1">
      <c r="A303" s="83" t="s">
        <v>518</v>
      </c>
      <c r="B303" s="83" t="s">
        <v>489</v>
      </c>
      <c r="C303" s="83" t="s">
        <v>519</v>
      </c>
      <c r="D303" s="95"/>
      <c r="E303" s="113" t="s">
        <v>520</v>
      </c>
      <c r="F303" s="109">
        <f>F304</f>
        <v>7777778</v>
      </c>
      <c r="G303" s="110">
        <f>G304</f>
        <v>0</v>
      </c>
      <c r="H303" s="93">
        <f t="shared" si="7"/>
        <v>0</v>
      </c>
    </row>
    <row r="304" spans="1:8" s="90" customFormat="1" ht="21" customHeight="1">
      <c r="A304" s="83" t="s">
        <v>521</v>
      </c>
      <c r="B304" s="83" t="s">
        <v>489</v>
      </c>
      <c r="C304" s="83" t="s">
        <v>519</v>
      </c>
      <c r="D304" s="95" t="s">
        <v>522</v>
      </c>
      <c r="E304" s="67" t="s">
        <v>523</v>
      </c>
      <c r="F304" s="109">
        <f>5600000+2177778</f>
        <v>7777778</v>
      </c>
      <c r="G304" s="110">
        <v>0</v>
      </c>
      <c r="H304" s="93">
        <f t="shared" si="7"/>
        <v>0</v>
      </c>
    </row>
    <row r="305" spans="1:8" s="90" customFormat="1" ht="51" customHeight="1">
      <c r="A305" s="83" t="s">
        <v>524</v>
      </c>
      <c r="B305" s="83" t="s">
        <v>489</v>
      </c>
      <c r="C305" s="83" t="s">
        <v>525</v>
      </c>
      <c r="D305" s="95"/>
      <c r="E305" s="67" t="s">
        <v>526</v>
      </c>
      <c r="F305" s="109">
        <f>SUM(F306:F307)</f>
        <v>3022930.05</v>
      </c>
      <c r="G305" s="109">
        <f>SUM(G306:G307)</f>
        <v>0</v>
      </c>
      <c r="H305" s="93">
        <f t="shared" si="7"/>
        <v>0</v>
      </c>
    </row>
    <row r="306" spans="1:8" s="90" customFormat="1" ht="33.75" customHeight="1">
      <c r="A306" s="83" t="s">
        <v>527</v>
      </c>
      <c r="B306" s="83" t="s">
        <v>489</v>
      </c>
      <c r="C306" s="83" t="s">
        <v>525</v>
      </c>
      <c r="D306" s="95" t="s">
        <v>1222</v>
      </c>
      <c r="E306" s="67" t="s">
        <v>1223</v>
      </c>
      <c r="F306" s="109">
        <v>2644351</v>
      </c>
      <c r="G306" s="110">
        <v>0</v>
      </c>
      <c r="H306" s="93">
        <f t="shared" si="7"/>
        <v>0</v>
      </c>
    </row>
    <row r="307" spans="1:8" s="90" customFormat="1" ht="25.5" customHeight="1">
      <c r="A307" s="83" t="s">
        <v>528</v>
      </c>
      <c r="B307" s="83" t="s">
        <v>489</v>
      </c>
      <c r="C307" s="83" t="s">
        <v>525</v>
      </c>
      <c r="D307" s="95" t="s">
        <v>3</v>
      </c>
      <c r="E307" s="67" t="s">
        <v>529</v>
      </c>
      <c r="F307" s="109">
        <v>378579.05</v>
      </c>
      <c r="G307" s="110">
        <v>0</v>
      </c>
      <c r="H307" s="93">
        <f t="shared" si="7"/>
        <v>0</v>
      </c>
    </row>
    <row r="308" spans="1:8" ht="36.75" customHeight="1">
      <c r="A308" s="83" t="s">
        <v>530</v>
      </c>
      <c r="B308" s="83" t="s">
        <v>489</v>
      </c>
      <c r="C308" s="83" t="s">
        <v>531</v>
      </c>
      <c r="D308" s="95"/>
      <c r="E308" s="67" t="s">
        <v>532</v>
      </c>
      <c r="F308" s="109">
        <f>F309</f>
        <v>70000000</v>
      </c>
      <c r="G308" s="110">
        <f>G309</f>
        <v>0</v>
      </c>
      <c r="H308" s="93">
        <f t="shared" si="7"/>
        <v>0</v>
      </c>
    </row>
    <row r="309" spans="1:8" ht="27.75" customHeight="1">
      <c r="A309" s="83" t="s">
        <v>533</v>
      </c>
      <c r="B309" s="83" t="s">
        <v>489</v>
      </c>
      <c r="C309" s="83" t="s">
        <v>531</v>
      </c>
      <c r="D309" s="95" t="s">
        <v>522</v>
      </c>
      <c r="E309" s="67" t="s">
        <v>523</v>
      </c>
      <c r="F309" s="109">
        <v>70000000</v>
      </c>
      <c r="G309" s="110">
        <v>0</v>
      </c>
      <c r="H309" s="93">
        <f t="shared" si="7"/>
        <v>0</v>
      </c>
    </row>
    <row r="310" spans="1:8" ht="21" customHeight="1">
      <c r="A310" s="83" t="s">
        <v>534</v>
      </c>
      <c r="B310" s="84" t="s">
        <v>535</v>
      </c>
      <c r="C310" s="84"/>
      <c r="D310" s="85"/>
      <c r="E310" s="89" t="s">
        <v>536</v>
      </c>
      <c r="F310" s="87">
        <f>F311+F357</f>
        <v>154875656.95000002</v>
      </c>
      <c r="G310" s="87">
        <f>G311+G357</f>
        <v>81676359.23999998</v>
      </c>
      <c r="H310" s="88">
        <f t="shared" si="7"/>
        <v>52.73673141955959</v>
      </c>
    </row>
    <row r="311" spans="1:9" ht="48.75" customHeight="1">
      <c r="A311" s="83" t="s">
        <v>537</v>
      </c>
      <c r="B311" s="83" t="s">
        <v>535</v>
      </c>
      <c r="C311" s="83" t="s">
        <v>492</v>
      </c>
      <c r="D311" s="85"/>
      <c r="E311" s="67" t="s">
        <v>493</v>
      </c>
      <c r="F311" s="107">
        <f>F312+F334+F349+F354</f>
        <v>148981749.93</v>
      </c>
      <c r="G311" s="107">
        <f>G312+G334+G349</f>
        <v>78805575.21999998</v>
      </c>
      <c r="H311" s="93">
        <f t="shared" si="7"/>
        <v>52.89612671151149</v>
      </c>
      <c r="I311" s="128"/>
    </row>
    <row r="312" spans="1:8" ht="34.5" customHeight="1">
      <c r="A312" s="83" t="s">
        <v>538</v>
      </c>
      <c r="B312" s="83" t="s">
        <v>535</v>
      </c>
      <c r="C312" s="83" t="s">
        <v>539</v>
      </c>
      <c r="D312" s="85"/>
      <c r="E312" s="67" t="s">
        <v>540</v>
      </c>
      <c r="F312" s="107">
        <f>F313+F321+F330+F319</f>
        <v>130305578.72</v>
      </c>
      <c r="G312" s="107">
        <f>G313+G321+G330+G319</f>
        <v>69058911.91999999</v>
      </c>
      <c r="H312" s="93">
        <f t="shared" si="7"/>
        <v>52.99766333749489</v>
      </c>
    </row>
    <row r="313" spans="1:8" ht="63" customHeight="1">
      <c r="A313" s="83" t="s">
        <v>541</v>
      </c>
      <c r="B313" s="83" t="s">
        <v>535</v>
      </c>
      <c r="C313" s="83" t="s">
        <v>542</v>
      </c>
      <c r="D313" s="95"/>
      <c r="E313" s="67" t="s">
        <v>543</v>
      </c>
      <c r="F313" s="109">
        <f>SUM(F314:F318)</f>
        <v>46355090.7</v>
      </c>
      <c r="G313" s="109">
        <f>SUM(G314:G318)</f>
        <v>21842185.02</v>
      </c>
      <c r="H313" s="93">
        <f t="shared" si="7"/>
        <v>47.119280083729834</v>
      </c>
    </row>
    <row r="314" spans="1:8" ht="31.5">
      <c r="A314" s="83" t="s">
        <v>544</v>
      </c>
      <c r="B314" s="83" t="s">
        <v>535</v>
      </c>
      <c r="C314" s="83" t="s">
        <v>542</v>
      </c>
      <c r="D314" s="95" t="s">
        <v>57</v>
      </c>
      <c r="E314" s="67" t="s">
        <v>58</v>
      </c>
      <c r="F314" s="107">
        <v>2256581</v>
      </c>
      <c r="G314" s="108">
        <v>1157783.43</v>
      </c>
      <c r="H314" s="93">
        <f t="shared" si="7"/>
        <v>51.30697413476405</v>
      </c>
    </row>
    <row r="315" spans="1:8" ht="51" customHeight="1">
      <c r="A315" s="83" t="s">
        <v>545</v>
      </c>
      <c r="B315" s="83" t="s">
        <v>535</v>
      </c>
      <c r="C315" s="83" t="s">
        <v>542</v>
      </c>
      <c r="D315" s="95" t="s">
        <v>1222</v>
      </c>
      <c r="E315" s="67" t="s">
        <v>1223</v>
      </c>
      <c r="F315" s="109">
        <v>3304511.86</v>
      </c>
      <c r="G315" s="110">
        <v>1306876.82</v>
      </c>
      <c r="H315" s="93">
        <f t="shared" si="7"/>
        <v>39.54825630433658</v>
      </c>
    </row>
    <row r="316" spans="1:8" ht="24.75" customHeight="1">
      <c r="A316" s="83" t="s">
        <v>546</v>
      </c>
      <c r="B316" s="83" t="s">
        <v>535</v>
      </c>
      <c r="C316" s="83" t="s">
        <v>542</v>
      </c>
      <c r="D316" s="95" t="s">
        <v>5</v>
      </c>
      <c r="E316" s="67" t="s">
        <v>6</v>
      </c>
      <c r="F316" s="109">
        <v>169204.14</v>
      </c>
      <c r="G316" s="110">
        <v>53551</v>
      </c>
      <c r="H316" s="93">
        <f t="shared" si="7"/>
        <v>31.648752802384145</v>
      </c>
    </row>
    <row r="317" spans="1:8" ht="18.75" customHeight="1">
      <c r="A317" s="83" t="s">
        <v>547</v>
      </c>
      <c r="B317" s="83" t="s">
        <v>535</v>
      </c>
      <c r="C317" s="83" t="s">
        <v>542</v>
      </c>
      <c r="D317" s="95" t="s">
        <v>62</v>
      </c>
      <c r="E317" s="67" t="s">
        <v>63</v>
      </c>
      <c r="F317" s="109">
        <v>24787045.7</v>
      </c>
      <c r="G317" s="110">
        <v>12443973.77</v>
      </c>
      <c r="H317" s="93">
        <f t="shared" si="7"/>
        <v>50.20353744698183</v>
      </c>
    </row>
    <row r="318" spans="1:8" ht="21" customHeight="1">
      <c r="A318" s="83" t="s">
        <v>548</v>
      </c>
      <c r="B318" s="83" t="s">
        <v>535</v>
      </c>
      <c r="C318" s="83" t="s">
        <v>542</v>
      </c>
      <c r="D318" s="95" t="s">
        <v>549</v>
      </c>
      <c r="E318" s="67" t="s">
        <v>550</v>
      </c>
      <c r="F318" s="109">
        <v>15837748</v>
      </c>
      <c r="G318" s="110">
        <v>6880000</v>
      </c>
      <c r="H318" s="93">
        <f t="shared" si="7"/>
        <v>43.44051944758813</v>
      </c>
    </row>
    <row r="319" spans="1:8" ht="32.25" customHeight="1">
      <c r="A319" s="83" t="s">
        <v>551</v>
      </c>
      <c r="B319" s="83" t="s">
        <v>535</v>
      </c>
      <c r="C319" s="83" t="s">
        <v>552</v>
      </c>
      <c r="D319" s="95"/>
      <c r="E319" s="67" t="s">
        <v>1225</v>
      </c>
      <c r="F319" s="109">
        <f>F320</f>
        <v>859488.02</v>
      </c>
      <c r="G319" s="109">
        <f>G320</f>
        <v>764274.72</v>
      </c>
      <c r="H319" s="93">
        <f t="shared" si="7"/>
        <v>88.92209108394553</v>
      </c>
    </row>
    <row r="320" spans="1:8" ht="20.25" customHeight="1">
      <c r="A320" s="83" t="s">
        <v>553</v>
      </c>
      <c r="B320" s="83" t="s">
        <v>535</v>
      </c>
      <c r="C320" s="83" t="s">
        <v>552</v>
      </c>
      <c r="D320" s="95" t="s">
        <v>62</v>
      </c>
      <c r="E320" s="67" t="s">
        <v>63</v>
      </c>
      <c r="F320" s="109">
        <v>859488.02</v>
      </c>
      <c r="G320" s="110">
        <v>764274.72</v>
      </c>
      <c r="H320" s="93">
        <f t="shared" si="7"/>
        <v>88.92209108394553</v>
      </c>
    </row>
    <row r="321" spans="1:8" ht="140.25" customHeight="1">
      <c r="A321" s="83" t="s">
        <v>554</v>
      </c>
      <c r="B321" s="83" t="s">
        <v>535</v>
      </c>
      <c r="C321" s="83" t="s">
        <v>555</v>
      </c>
      <c r="D321" s="95"/>
      <c r="E321" s="67" t="s">
        <v>556</v>
      </c>
      <c r="F321" s="109">
        <f>F322+F326</f>
        <v>74802000</v>
      </c>
      <c r="G321" s="109">
        <f>G322+G326</f>
        <v>41847481.8</v>
      </c>
      <c r="H321" s="93">
        <f t="shared" si="7"/>
        <v>55.94433544557632</v>
      </c>
    </row>
    <row r="322" spans="1:8" ht="128.25" customHeight="1">
      <c r="A322" s="83" t="s">
        <v>557</v>
      </c>
      <c r="B322" s="83" t="s">
        <v>535</v>
      </c>
      <c r="C322" s="83" t="s">
        <v>558</v>
      </c>
      <c r="D322" s="95"/>
      <c r="E322" s="67" t="s">
        <v>556</v>
      </c>
      <c r="F322" s="107">
        <f>SUM(F323:F325)</f>
        <v>71519000</v>
      </c>
      <c r="G322" s="107">
        <f>SUM(G323:G325)</f>
        <v>40239361.32</v>
      </c>
      <c r="H322" s="93">
        <f t="shared" si="7"/>
        <v>56.26387578126092</v>
      </c>
    </row>
    <row r="323" spans="1:8" ht="18.75" customHeight="1">
      <c r="A323" s="83" t="s">
        <v>559</v>
      </c>
      <c r="B323" s="83" t="s">
        <v>535</v>
      </c>
      <c r="C323" s="83" t="s">
        <v>558</v>
      </c>
      <c r="D323" s="95" t="s">
        <v>57</v>
      </c>
      <c r="E323" s="67" t="s">
        <v>58</v>
      </c>
      <c r="F323" s="109">
        <f>1224140+619</f>
        <v>1224759</v>
      </c>
      <c r="G323" s="110">
        <v>715234.32</v>
      </c>
      <c r="H323" s="93">
        <f t="shared" si="7"/>
        <v>58.39796400761293</v>
      </c>
    </row>
    <row r="324" spans="1:8" ht="20.25" customHeight="1">
      <c r="A324" s="83" t="s">
        <v>560</v>
      </c>
      <c r="B324" s="83" t="s">
        <v>535</v>
      </c>
      <c r="C324" s="83" t="s">
        <v>558</v>
      </c>
      <c r="D324" s="95" t="s">
        <v>62</v>
      </c>
      <c r="E324" s="67" t="s">
        <v>63</v>
      </c>
      <c r="F324" s="109">
        <f>39060522+74988</f>
        <v>39135510</v>
      </c>
      <c r="G324" s="110">
        <v>21735643</v>
      </c>
      <c r="H324" s="93">
        <f t="shared" si="7"/>
        <v>55.539439756885756</v>
      </c>
    </row>
    <row r="325" spans="1:8" ht="21" customHeight="1">
      <c r="A325" s="83" t="s">
        <v>561</v>
      </c>
      <c r="B325" s="83" t="s">
        <v>535</v>
      </c>
      <c r="C325" s="83" t="s">
        <v>558</v>
      </c>
      <c r="D325" s="95" t="s">
        <v>549</v>
      </c>
      <c r="E325" s="67" t="s">
        <v>550</v>
      </c>
      <c r="F325" s="109">
        <f>31117338+41393</f>
        <v>31158731</v>
      </c>
      <c r="G325" s="110">
        <v>17788484</v>
      </c>
      <c r="H325" s="93">
        <f t="shared" si="7"/>
        <v>57.08988597770558</v>
      </c>
    </row>
    <row r="326" spans="1:8" ht="173.25" customHeight="1">
      <c r="A326" s="83" t="s">
        <v>1228</v>
      </c>
      <c r="B326" s="83" t="s">
        <v>535</v>
      </c>
      <c r="C326" s="83" t="s">
        <v>562</v>
      </c>
      <c r="D326" s="95"/>
      <c r="E326" s="67" t="s">
        <v>556</v>
      </c>
      <c r="F326" s="107">
        <f>SUM(F327:F329)</f>
        <v>3283000</v>
      </c>
      <c r="G326" s="107">
        <f>SUM(G327:G329)</f>
        <v>1608120.48</v>
      </c>
      <c r="H326" s="93">
        <f t="shared" si="7"/>
        <v>48.98326165092903</v>
      </c>
    </row>
    <row r="327" spans="1:8" ht="30" customHeight="1">
      <c r="A327" s="83" t="s">
        <v>563</v>
      </c>
      <c r="B327" s="83" t="s">
        <v>535</v>
      </c>
      <c r="C327" s="83" t="s">
        <v>562</v>
      </c>
      <c r="D327" s="95" t="s">
        <v>1222</v>
      </c>
      <c r="E327" s="67" t="s">
        <v>1223</v>
      </c>
      <c r="F327" s="109">
        <f>110000-69962</f>
        <v>40038</v>
      </c>
      <c r="G327" s="110">
        <v>6158.48</v>
      </c>
      <c r="H327" s="93">
        <f aca="true" t="shared" si="9" ref="H327:H390">G327/F327*100</f>
        <v>15.381587491882712</v>
      </c>
    </row>
    <row r="328" spans="1:8" ht="21.75" customHeight="1">
      <c r="A328" s="83" t="s">
        <v>564</v>
      </c>
      <c r="B328" s="83" t="s">
        <v>535</v>
      </c>
      <c r="C328" s="83" t="s">
        <v>562</v>
      </c>
      <c r="D328" s="95" t="s">
        <v>62</v>
      </c>
      <c r="E328" s="67" t="s">
        <v>63</v>
      </c>
      <c r="F328" s="109">
        <f>1759896+25316</f>
        <v>1785212</v>
      </c>
      <c r="G328" s="110">
        <v>882832</v>
      </c>
      <c r="H328" s="93">
        <f t="shared" si="9"/>
        <v>49.4525019997625</v>
      </c>
    </row>
    <row r="329" spans="1:8" ht="21" customHeight="1">
      <c r="A329" s="83" t="s">
        <v>565</v>
      </c>
      <c r="B329" s="83" t="s">
        <v>535</v>
      </c>
      <c r="C329" s="83" t="s">
        <v>562</v>
      </c>
      <c r="D329" s="95" t="s">
        <v>549</v>
      </c>
      <c r="E329" s="67" t="s">
        <v>550</v>
      </c>
      <c r="F329" s="107">
        <f>1530104-72354</f>
        <v>1457750</v>
      </c>
      <c r="G329" s="108">
        <v>719130</v>
      </c>
      <c r="H329" s="93">
        <f t="shared" si="9"/>
        <v>49.3315040301835</v>
      </c>
    </row>
    <row r="330" spans="1:8" ht="48" customHeight="1">
      <c r="A330" s="83" t="s">
        <v>566</v>
      </c>
      <c r="B330" s="83" t="s">
        <v>535</v>
      </c>
      <c r="C330" s="83" t="s">
        <v>567</v>
      </c>
      <c r="D330" s="95"/>
      <c r="E330" s="67" t="s">
        <v>568</v>
      </c>
      <c r="F330" s="107">
        <f>SUM(F331:F333)</f>
        <v>8289000</v>
      </c>
      <c r="G330" s="107">
        <f>SUM(G331:G333)</f>
        <v>4604970.38</v>
      </c>
      <c r="H330" s="93">
        <f t="shared" si="9"/>
        <v>55.55519821450115</v>
      </c>
    </row>
    <row r="331" spans="1:8" ht="47.25" customHeight="1">
      <c r="A331" s="83" t="s">
        <v>569</v>
      </c>
      <c r="B331" s="83" t="s">
        <v>535</v>
      </c>
      <c r="C331" s="83" t="s">
        <v>567</v>
      </c>
      <c r="D331" s="95" t="s">
        <v>1222</v>
      </c>
      <c r="E331" s="67" t="s">
        <v>1223</v>
      </c>
      <c r="F331" s="109">
        <v>84150</v>
      </c>
      <c r="G331" s="110">
        <v>40864.38</v>
      </c>
      <c r="H331" s="93">
        <f t="shared" si="9"/>
        <v>48.56135472370766</v>
      </c>
    </row>
    <row r="332" spans="1:8" ht="24" customHeight="1">
      <c r="A332" s="83" t="s">
        <v>570</v>
      </c>
      <c r="B332" s="83" t="s">
        <v>535</v>
      </c>
      <c r="C332" s="83" t="s">
        <v>567</v>
      </c>
      <c r="D332" s="95" t="s">
        <v>62</v>
      </c>
      <c r="E332" s="67" t="s">
        <v>63</v>
      </c>
      <c r="F332" s="109">
        <v>4873122</v>
      </c>
      <c r="G332" s="110">
        <v>2669256</v>
      </c>
      <c r="H332" s="93">
        <f t="shared" si="9"/>
        <v>54.77507027322525</v>
      </c>
    </row>
    <row r="333" spans="1:8" ht="21" customHeight="1">
      <c r="A333" s="83" t="s">
        <v>571</v>
      </c>
      <c r="B333" s="83" t="s">
        <v>535</v>
      </c>
      <c r="C333" s="83" t="s">
        <v>567</v>
      </c>
      <c r="D333" s="95" t="s">
        <v>549</v>
      </c>
      <c r="E333" s="67" t="s">
        <v>550</v>
      </c>
      <c r="F333" s="107">
        <v>3331728</v>
      </c>
      <c r="G333" s="108">
        <v>1894850</v>
      </c>
      <c r="H333" s="93">
        <f t="shared" si="9"/>
        <v>56.87288998381621</v>
      </c>
    </row>
    <row r="334" spans="1:10" ht="65.25" customHeight="1">
      <c r="A334" s="83" t="s">
        <v>572</v>
      </c>
      <c r="B334" s="83" t="s">
        <v>535</v>
      </c>
      <c r="C334" s="83" t="s">
        <v>573</v>
      </c>
      <c r="D334" s="95"/>
      <c r="E334" s="67" t="s">
        <v>574</v>
      </c>
      <c r="F334" s="109">
        <f>F335+F341+F347+F345</f>
        <v>17711851.21</v>
      </c>
      <c r="G334" s="109">
        <f>G335+G341+G347+G345</f>
        <v>9746663.3</v>
      </c>
      <c r="H334" s="93">
        <f t="shared" si="9"/>
        <v>55.02904910638079</v>
      </c>
      <c r="I334" s="128"/>
      <c r="J334" s="128"/>
    </row>
    <row r="335" spans="1:10" ht="51.75" customHeight="1">
      <c r="A335" s="83" t="s">
        <v>575</v>
      </c>
      <c r="B335" s="83" t="s">
        <v>535</v>
      </c>
      <c r="C335" s="83" t="s">
        <v>576</v>
      </c>
      <c r="D335" s="95"/>
      <c r="E335" s="67" t="s">
        <v>577</v>
      </c>
      <c r="F335" s="107">
        <f>SUM(F336:F340)</f>
        <v>16685192</v>
      </c>
      <c r="G335" s="107">
        <f>SUM(G336:G340)</f>
        <v>9260654.73</v>
      </c>
      <c r="H335" s="93">
        <f t="shared" si="9"/>
        <v>55.502236534047675</v>
      </c>
      <c r="J335" s="128"/>
    </row>
    <row r="336" spans="1:8" ht="39" customHeight="1">
      <c r="A336" s="83" t="s">
        <v>578</v>
      </c>
      <c r="B336" s="83" t="s">
        <v>535</v>
      </c>
      <c r="C336" s="83" t="s">
        <v>576</v>
      </c>
      <c r="D336" s="95" t="s">
        <v>57</v>
      </c>
      <c r="E336" s="67" t="s">
        <v>58</v>
      </c>
      <c r="F336" s="109">
        <v>3015373.87</v>
      </c>
      <c r="G336" s="110">
        <v>3015373.87</v>
      </c>
      <c r="H336" s="93">
        <f t="shared" si="9"/>
        <v>100</v>
      </c>
    </row>
    <row r="337" spans="1:8" ht="51.75" customHeight="1">
      <c r="A337" s="83" t="s">
        <v>579</v>
      </c>
      <c r="B337" s="83" t="s">
        <v>535</v>
      </c>
      <c r="C337" s="83" t="s">
        <v>576</v>
      </c>
      <c r="D337" s="95" t="s">
        <v>1222</v>
      </c>
      <c r="E337" s="67" t="s">
        <v>1223</v>
      </c>
      <c r="F337" s="107">
        <v>360388.28</v>
      </c>
      <c r="G337" s="107">
        <v>360388.28</v>
      </c>
      <c r="H337" s="93">
        <f t="shared" si="9"/>
        <v>100</v>
      </c>
    </row>
    <row r="338" spans="1:8" ht="25.5" customHeight="1">
      <c r="A338" s="83" t="s">
        <v>580</v>
      </c>
      <c r="B338" s="83" t="s">
        <v>535</v>
      </c>
      <c r="C338" s="83" t="s">
        <v>576</v>
      </c>
      <c r="D338" s="95" t="s">
        <v>5</v>
      </c>
      <c r="E338" s="67" t="s">
        <v>6</v>
      </c>
      <c r="F338" s="107">
        <v>38873</v>
      </c>
      <c r="G338" s="107">
        <v>38873</v>
      </c>
      <c r="H338" s="93">
        <f t="shared" si="9"/>
        <v>100</v>
      </c>
    </row>
    <row r="339" spans="1:8" ht="20.25" customHeight="1">
      <c r="A339" s="83" t="s">
        <v>581</v>
      </c>
      <c r="B339" s="83" t="s">
        <v>535</v>
      </c>
      <c r="C339" s="83" t="s">
        <v>576</v>
      </c>
      <c r="D339" s="95" t="s">
        <v>62</v>
      </c>
      <c r="E339" s="67" t="s">
        <v>63</v>
      </c>
      <c r="F339" s="109">
        <v>8740860</v>
      </c>
      <c r="G339" s="110">
        <v>5353445.25</v>
      </c>
      <c r="H339" s="93">
        <f t="shared" si="9"/>
        <v>61.24620746699981</v>
      </c>
    </row>
    <row r="340" spans="1:8" ht="20.25" customHeight="1">
      <c r="A340" s="83" t="s">
        <v>582</v>
      </c>
      <c r="B340" s="83" t="s">
        <v>535</v>
      </c>
      <c r="C340" s="83" t="s">
        <v>576</v>
      </c>
      <c r="D340" s="95" t="s">
        <v>549</v>
      </c>
      <c r="E340" s="67" t="s">
        <v>550</v>
      </c>
      <c r="F340" s="109">
        <v>4529696.85</v>
      </c>
      <c r="G340" s="110">
        <v>492574.33</v>
      </c>
      <c r="H340" s="93">
        <f t="shared" si="9"/>
        <v>10.874333234905114</v>
      </c>
    </row>
    <row r="341" spans="1:8" ht="33.75" customHeight="1">
      <c r="A341" s="83" t="s">
        <v>583</v>
      </c>
      <c r="B341" s="83" t="s">
        <v>535</v>
      </c>
      <c r="C341" s="83" t="s">
        <v>584</v>
      </c>
      <c r="D341" s="95"/>
      <c r="E341" s="67" t="s">
        <v>1225</v>
      </c>
      <c r="F341" s="109">
        <f>SUM(F342:F344)</f>
        <v>170659.21</v>
      </c>
      <c r="G341" s="109">
        <f>SUM(G342:G344)</f>
        <v>83008.56999999999</v>
      </c>
      <c r="H341" s="93">
        <f t="shared" si="9"/>
        <v>48.639959132589446</v>
      </c>
    </row>
    <row r="342" spans="1:8" ht="33" customHeight="1">
      <c r="A342" s="83" t="s">
        <v>585</v>
      </c>
      <c r="B342" s="83" t="s">
        <v>535</v>
      </c>
      <c r="C342" s="83" t="s">
        <v>584</v>
      </c>
      <c r="D342" s="95" t="s">
        <v>1222</v>
      </c>
      <c r="E342" s="99" t="s">
        <v>1223</v>
      </c>
      <c r="F342" s="109">
        <v>78551.67</v>
      </c>
      <c r="G342" s="109">
        <v>78551.67</v>
      </c>
      <c r="H342" s="93">
        <f t="shared" si="9"/>
        <v>100</v>
      </c>
    </row>
    <row r="343" spans="1:8" ht="20.25" customHeight="1">
      <c r="A343" s="83" t="s">
        <v>586</v>
      </c>
      <c r="B343" s="83" t="s">
        <v>535</v>
      </c>
      <c r="C343" s="83" t="s">
        <v>584</v>
      </c>
      <c r="D343" s="95" t="s">
        <v>62</v>
      </c>
      <c r="E343" s="67" t="s">
        <v>63</v>
      </c>
      <c r="F343" s="109">
        <v>4456.9</v>
      </c>
      <c r="G343" s="109">
        <v>4456.9</v>
      </c>
      <c r="H343" s="93">
        <f t="shared" si="9"/>
        <v>100</v>
      </c>
    </row>
    <row r="344" spans="1:8" ht="22.5" customHeight="1">
      <c r="A344" s="83" t="s">
        <v>587</v>
      </c>
      <c r="B344" s="83" t="s">
        <v>535</v>
      </c>
      <c r="C344" s="83" t="s">
        <v>584</v>
      </c>
      <c r="D344" s="95" t="s">
        <v>549</v>
      </c>
      <c r="E344" s="67" t="s">
        <v>550</v>
      </c>
      <c r="F344" s="109">
        <v>87650.64</v>
      </c>
      <c r="G344" s="109">
        <v>0</v>
      </c>
      <c r="H344" s="93">
        <f t="shared" si="9"/>
        <v>0</v>
      </c>
    </row>
    <row r="345" spans="1:8" ht="33" customHeight="1">
      <c r="A345" s="83" t="s">
        <v>588</v>
      </c>
      <c r="B345" s="83" t="s">
        <v>535</v>
      </c>
      <c r="C345" s="83" t="s">
        <v>589</v>
      </c>
      <c r="D345" s="95"/>
      <c r="E345" s="67" t="s">
        <v>590</v>
      </c>
      <c r="F345" s="109">
        <f>F346</f>
        <v>50000</v>
      </c>
      <c r="G345" s="109">
        <f>G346</f>
        <v>0</v>
      </c>
      <c r="H345" s="93">
        <f t="shared" si="9"/>
        <v>0</v>
      </c>
    </row>
    <row r="346" spans="1:8" ht="18.75" customHeight="1">
      <c r="A346" s="83" t="s">
        <v>591</v>
      </c>
      <c r="B346" s="83" t="s">
        <v>535</v>
      </c>
      <c r="C346" s="83" t="s">
        <v>589</v>
      </c>
      <c r="D346" s="95" t="s">
        <v>549</v>
      </c>
      <c r="E346" s="67" t="s">
        <v>550</v>
      </c>
      <c r="F346" s="109">
        <v>50000</v>
      </c>
      <c r="G346" s="109">
        <v>0</v>
      </c>
      <c r="H346" s="93">
        <f t="shared" si="9"/>
        <v>0</v>
      </c>
    </row>
    <row r="347" spans="1:8" ht="141" customHeight="1">
      <c r="A347" s="83" t="s">
        <v>592</v>
      </c>
      <c r="B347" s="83" t="s">
        <v>535</v>
      </c>
      <c r="C347" s="83" t="s">
        <v>593</v>
      </c>
      <c r="D347" s="95"/>
      <c r="E347" s="102" t="s">
        <v>594</v>
      </c>
      <c r="F347" s="109">
        <f>F348</f>
        <v>806000</v>
      </c>
      <c r="G347" s="109">
        <f>G348</f>
        <v>403000</v>
      </c>
      <c r="H347" s="93">
        <f t="shared" si="9"/>
        <v>50</v>
      </c>
    </row>
    <row r="348" spans="1:8" ht="18.75" customHeight="1">
      <c r="A348" s="83" t="s">
        <v>595</v>
      </c>
      <c r="B348" s="83" t="s">
        <v>535</v>
      </c>
      <c r="C348" s="83" t="s">
        <v>593</v>
      </c>
      <c r="D348" s="95" t="s">
        <v>62</v>
      </c>
      <c r="E348" s="67" t="s">
        <v>63</v>
      </c>
      <c r="F348" s="109">
        <v>806000</v>
      </c>
      <c r="G348" s="109">
        <v>403000</v>
      </c>
      <c r="H348" s="93">
        <f t="shared" si="9"/>
        <v>50</v>
      </c>
    </row>
    <row r="349" spans="1:8" ht="66" customHeight="1">
      <c r="A349" s="83" t="s">
        <v>596</v>
      </c>
      <c r="B349" s="83" t="s">
        <v>535</v>
      </c>
      <c r="C349" s="83" t="s">
        <v>516</v>
      </c>
      <c r="D349" s="95"/>
      <c r="E349" s="67" t="s">
        <v>517</v>
      </c>
      <c r="F349" s="109">
        <f>F350+F352</f>
        <v>714320</v>
      </c>
      <c r="G349" s="109">
        <f>G350+G352</f>
        <v>0</v>
      </c>
      <c r="H349" s="93">
        <f t="shared" si="9"/>
        <v>0</v>
      </c>
    </row>
    <row r="350" spans="1:8" ht="101.25" customHeight="1">
      <c r="A350" s="83" t="s">
        <v>597</v>
      </c>
      <c r="B350" s="83" t="s">
        <v>535</v>
      </c>
      <c r="C350" s="83" t="s">
        <v>598</v>
      </c>
      <c r="D350" s="95"/>
      <c r="E350" s="67" t="s">
        <v>599</v>
      </c>
      <c r="F350" s="107">
        <f>SUM(F351:F351)</f>
        <v>377320</v>
      </c>
      <c r="G350" s="107">
        <f>SUM(G351:G351)</f>
        <v>0</v>
      </c>
      <c r="H350" s="93">
        <f t="shared" si="9"/>
        <v>0</v>
      </c>
    </row>
    <row r="351" spans="1:8" ht="19.5" customHeight="1">
      <c r="A351" s="83" t="s">
        <v>600</v>
      </c>
      <c r="B351" s="83" t="s">
        <v>535</v>
      </c>
      <c r="C351" s="83" t="s">
        <v>598</v>
      </c>
      <c r="D351" s="95" t="s">
        <v>62</v>
      </c>
      <c r="E351" s="67" t="s">
        <v>63</v>
      </c>
      <c r="F351" s="109">
        <v>377320</v>
      </c>
      <c r="G351" s="110">
        <v>0</v>
      </c>
      <c r="H351" s="93">
        <f t="shared" si="9"/>
        <v>0</v>
      </c>
    </row>
    <row r="352" spans="1:8" ht="96" customHeight="1">
      <c r="A352" s="83" t="s">
        <v>601</v>
      </c>
      <c r="B352" s="83" t="s">
        <v>535</v>
      </c>
      <c r="C352" s="83" t="s">
        <v>602</v>
      </c>
      <c r="D352" s="95"/>
      <c r="E352" s="67" t="s">
        <v>603</v>
      </c>
      <c r="F352" s="109">
        <f>F353</f>
        <v>337000</v>
      </c>
      <c r="G352" s="110">
        <f>G353</f>
        <v>0</v>
      </c>
      <c r="H352" s="93">
        <f t="shared" si="9"/>
        <v>0</v>
      </c>
    </row>
    <row r="353" spans="1:8" ht="24.75" customHeight="1">
      <c r="A353" s="83" t="s">
        <v>604</v>
      </c>
      <c r="B353" s="83" t="s">
        <v>535</v>
      </c>
      <c r="C353" s="83" t="s">
        <v>602</v>
      </c>
      <c r="D353" s="95" t="s">
        <v>62</v>
      </c>
      <c r="E353" s="67" t="s">
        <v>63</v>
      </c>
      <c r="F353" s="109">
        <v>337000</v>
      </c>
      <c r="G353" s="110">
        <v>0</v>
      </c>
      <c r="H353" s="93">
        <f t="shared" si="9"/>
        <v>0</v>
      </c>
    </row>
    <row r="354" spans="1:8" ht="24.75" customHeight="1">
      <c r="A354" s="83" t="s">
        <v>605</v>
      </c>
      <c r="B354" s="83" t="s">
        <v>535</v>
      </c>
      <c r="C354" s="83" t="s">
        <v>606</v>
      </c>
      <c r="D354" s="95"/>
      <c r="E354" s="67" t="s">
        <v>607</v>
      </c>
      <c r="F354" s="109">
        <f>F355</f>
        <v>250000</v>
      </c>
      <c r="G354" s="109">
        <f>G355</f>
        <v>0</v>
      </c>
      <c r="H354" s="93">
        <f t="shared" si="9"/>
        <v>0</v>
      </c>
    </row>
    <row r="355" spans="1:8" ht="42" customHeight="1">
      <c r="A355" s="83" t="s">
        <v>608</v>
      </c>
      <c r="B355" s="83" t="s">
        <v>535</v>
      </c>
      <c r="C355" s="83" t="s">
        <v>609</v>
      </c>
      <c r="D355" s="95"/>
      <c r="E355" s="67" t="s">
        <v>610</v>
      </c>
      <c r="F355" s="109">
        <f>F356</f>
        <v>250000</v>
      </c>
      <c r="G355" s="109">
        <f>G356</f>
        <v>0</v>
      </c>
      <c r="H355" s="93">
        <f t="shared" si="9"/>
        <v>0</v>
      </c>
    </row>
    <row r="356" spans="1:8" ht="18" customHeight="1">
      <c r="A356" s="83" t="s">
        <v>611</v>
      </c>
      <c r="B356" s="83" t="s">
        <v>535</v>
      </c>
      <c r="C356" s="83" t="s">
        <v>609</v>
      </c>
      <c r="D356" s="95" t="s">
        <v>549</v>
      </c>
      <c r="E356" s="67" t="s">
        <v>550</v>
      </c>
      <c r="F356" s="109">
        <v>250000</v>
      </c>
      <c r="G356" s="110">
        <v>0</v>
      </c>
      <c r="H356" s="93">
        <f t="shared" si="9"/>
        <v>0</v>
      </c>
    </row>
    <row r="357" spans="1:8" ht="64.5" customHeight="1">
      <c r="A357" s="83" t="s">
        <v>612</v>
      </c>
      <c r="B357" s="83" t="s">
        <v>535</v>
      </c>
      <c r="C357" s="83" t="s">
        <v>613</v>
      </c>
      <c r="D357" s="85"/>
      <c r="E357" s="67" t="s">
        <v>614</v>
      </c>
      <c r="F357" s="107">
        <f>F358</f>
        <v>5893907.0200000005</v>
      </c>
      <c r="G357" s="108">
        <f>G358</f>
        <v>2870784.02</v>
      </c>
      <c r="H357" s="93">
        <f t="shared" si="9"/>
        <v>48.707657081431186</v>
      </c>
    </row>
    <row r="358" spans="1:8" ht="49.5" customHeight="1">
      <c r="A358" s="83" t="s">
        <v>615</v>
      </c>
      <c r="B358" s="83" t="s">
        <v>535</v>
      </c>
      <c r="C358" s="83" t="s">
        <v>616</v>
      </c>
      <c r="D358" s="95"/>
      <c r="E358" s="67" t="s">
        <v>617</v>
      </c>
      <c r="F358" s="109">
        <f>F359+F361</f>
        <v>5893907.0200000005</v>
      </c>
      <c r="G358" s="110">
        <f>G359+G361</f>
        <v>2870784.02</v>
      </c>
      <c r="H358" s="93">
        <f t="shared" si="9"/>
        <v>48.707657081431186</v>
      </c>
    </row>
    <row r="359" spans="1:8" ht="50.25" customHeight="1">
      <c r="A359" s="83" t="s">
        <v>618</v>
      </c>
      <c r="B359" s="83" t="s">
        <v>535</v>
      </c>
      <c r="C359" s="83" t="s">
        <v>619</v>
      </c>
      <c r="D359" s="95"/>
      <c r="E359" s="138" t="s">
        <v>620</v>
      </c>
      <c r="F359" s="109">
        <f>F360</f>
        <v>5831093.12</v>
      </c>
      <c r="G359" s="110">
        <f>G360</f>
        <v>2807970.2</v>
      </c>
      <c r="H359" s="93">
        <f t="shared" si="9"/>
        <v>48.155125329228156</v>
      </c>
    </row>
    <row r="360" spans="1:8" ht="23.25" customHeight="1">
      <c r="A360" s="83" t="s">
        <v>621</v>
      </c>
      <c r="B360" s="83" t="s">
        <v>535</v>
      </c>
      <c r="C360" s="83" t="s">
        <v>619</v>
      </c>
      <c r="D360" s="95" t="s">
        <v>62</v>
      </c>
      <c r="E360" s="67" t="s">
        <v>63</v>
      </c>
      <c r="F360" s="109">
        <v>5831093.12</v>
      </c>
      <c r="G360" s="110">
        <v>2807970.2</v>
      </c>
      <c r="H360" s="93">
        <f t="shared" si="9"/>
        <v>48.155125329228156</v>
      </c>
    </row>
    <row r="361" spans="1:8" ht="30" customHeight="1">
      <c r="A361" s="83" t="s">
        <v>622</v>
      </c>
      <c r="B361" s="83" t="s">
        <v>535</v>
      </c>
      <c r="C361" s="83" t="s">
        <v>623</v>
      </c>
      <c r="D361" s="95"/>
      <c r="E361" s="67" t="s">
        <v>1225</v>
      </c>
      <c r="F361" s="109">
        <f>F362</f>
        <v>62813.9</v>
      </c>
      <c r="G361" s="110">
        <f>G362</f>
        <v>62813.82</v>
      </c>
      <c r="H361" s="93">
        <f t="shared" si="9"/>
        <v>99.9998726396546</v>
      </c>
    </row>
    <row r="362" spans="1:8" ht="33.75" customHeight="1">
      <c r="A362" s="83" t="s">
        <v>624</v>
      </c>
      <c r="B362" s="83" t="s">
        <v>535</v>
      </c>
      <c r="C362" s="83" t="s">
        <v>623</v>
      </c>
      <c r="D362" s="95" t="s">
        <v>62</v>
      </c>
      <c r="E362" s="67" t="s">
        <v>63</v>
      </c>
      <c r="F362" s="109">
        <v>62813.9</v>
      </c>
      <c r="G362" s="110">
        <v>62813.82</v>
      </c>
      <c r="H362" s="93">
        <f t="shared" si="9"/>
        <v>99.9998726396546</v>
      </c>
    </row>
    <row r="363" spans="1:8" ht="24" customHeight="1">
      <c r="A363" s="83" t="s">
        <v>625</v>
      </c>
      <c r="B363" s="84" t="s">
        <v>626</v>
      </c>
      <c r="C363" s="84"/>
      <c r="D363" s="85"/>
      <c r="E363" s="89" t="s">
        <v>627</v>
      </c>
      <c r="F363" s="87">
        <f>F364+F380</f>
        <v>5788120</v>
      </c>
      <c r="G363" s="87">
        <f>G364+G380</f>
        <v>1524098.7599999998</v>
      </c>
      <c r="H363" s="88">
        <f t="shared" si="9"/>
        <v>26.331499001402868</v>
      </c>
    </row>
    <row r="364" spans="1:8" ht="47.25" customHeight="1">
      <c r="A364" s="83" t="s">
        <v>628</v>
      </c>
      <c r="B364" s="83" t="s">
        <v>626</v>
      </c>
      <c r="C364" s="83" t="s">
        <v>492</v>
      </c>
      <c r="D364" s="95"/>
      <c r="E364" s="67" t="s">
        <v>493</v>
      </c>
      <c r="F364" s="91">
        <f>F365</f>
        <v>5656160</v>
      </c>
      <c r="G364" s="92">
        <f>G365</f>
        <v>1441098.7599999998</v>
      </c>
      <c r="H364" s="93">
        <f t="shared" si="9"/>
        <v>25.478394529150517</v>
      </c>
    </row>
    <row r="365" spans="1:8" ht="64.5" customHeight="1">
      <c r="A365" s="83" t="s">
        <v>629</v>
      </c>
      <c r="B365" s="83" t="s">
        <v>626</v>
      </c>
      <c r="C365" s="83" t="s">
        <v>573</v>
      </c>
      <c r="D365" s="95"/>
      <c r="E365" s="67" t="s">
        <v>574</v>
      </c>
      <c r="F365" s="96">
        <f>F366+F375+F372</f>
        <v>5656160</v>
      </c>
      <c r="G365" s="98">
        <f>G366+G375+G372</f>
        <v>1441098.7599999998</v>
      </c>
      <c r="H365" s="93">
        <f t="shared" si="9"/>
        <v>25.478394529150517</v>
      </c>
    </row>
    <row r="366" spans="1:8" ht="33.75" customHeight="1">
      <c r="A366" s="83" t="s">
        <v>111</v>
      </c>
      <c r="B366" s="83" t="s">
        <v>626</v>
      </c>
      <c r="C366" s="83" t="s">
        <v>589</v>
      </c>
      <c r="D366" s="95"/>
      <c r="E366" s="99" t="s">
        <v>630</v>
      </c>
      <c r="F366" s="96">
        <f>SUM(F367:F371)</f>
        <v>1864560</v>
      </c>
      <c r="G366" s="96">
        <f>SUM(G367:G371)</f>
        <v>1789.45</v>
      </c>
      <c r="H366" s="93">
        <f t="shared" si="9"/>
        <v>0.09597170377998027</v>
      </c>
    </row>
    <row r="367" spans="1:8" ht="35.25" customHeight="1">
      <c r="A367" s="83" t="s">
        <v>631</v>
      </c>
      <c r="B367" s="83" t="s">
        <v>626</v>
      </c>
      <c r="C367" s="83" t="s">
        <v>589</v>
      </c>
      <c r="D367" s="95" t="s">
        <v>57</v>
      </c>
      <c r="E367" s="67" t="s">
        <v>58</v>
      </c>
      <c r="F367" s="109">
        <v>15916</v>
      </c>
      <c r="G367" s="110">
        <v>0</v>
      </c>
      <c r="H367" s="93">
        <f t="shared" si="9"/>
        <v>0</v>
      </c>
    </row>
    <row r="368" spans="1:8" ht="51" customHeight="1">
      <c r="A368" s="83" t="s">
        <v>632</v>
      </c>
      <c r="B368" s="83" t="s">
        <v>626</v>
      </c>
      <c r="C368" s="83" t="s">
        <v>589</v>
      </c>
      <c r="D368" s="83" t="s">
        <v>1222</v>
      </c>
      <c r="E368" s="67" t="s">
        <v>1223</v>
      </c>
      <c r="F368" s="109">
        <v>22699</v>
      </c>
      <c r="G368" s="110">
        <v>1789.45</v>
      </c>
      <c r="H368" s="93">
        <f t="shared" si="9"/>
        <v>7.883386933345081</v>
      </c>
    </row>
    <row r="369" spans="1:8" ht="32.25" customHeight="1">
      <c r="A369" s="83" t="s">
        <v>633</v>
      </c>
      <c r="B369" s="83" t="s">
        <v>626</v>
      </c>
      <c r="C369" s="83" t="s">
        <v>589</v>
      </c>
      <c r="D369" s="83" t="s">
        <v>1228</v>
      </c>
      <c r="E369" s="99" t="s">
        <v>0</v>
      </c>
      <c r="F369" s="109">
        <v>874765</v>
      </c>
      <c r="G369" s="110">
        <v>0</v>
      </c>
      <c r="H369" s="93">
        <f t="shared" si="9"/>
        <v>0</v>
      </c>
    </row>
    <row r="370" spans="1:8" ht="19.5" customHeight="1">
      <c r="A370" s="83" t="s">
        <v>634</v>
      </c>
      <c r="B370" s="83" t="s">
        <v>626</v>
      </c>
      <c r="C370" s="83" t="s">
        <v>589</v>
      </c>
      <c r="D370" s="83" t="s">
        <v>62</v>
      </c>
      <c r="E370" s="67" t="s">
        <v>63</v>
      </c>
      <c r="F370" s="109">
        <v>636597</v>
      </c>
      <c r="G370" s="110">
        <v>0</v>
      </c>
      <c r="H370" s="93">
        <f t="shared" si="9"/>
        <v>0</v>
      </c>
    </row>
    <row r="371" spans="1:8" ht="19.5" customHeight="1">
      <c r="A371" s="83" t="s">
        <v>635</v>
      </c>
      <c r="B371" s="83" t="s">
        <v>626</v>
      </c>
      <c r="C371" s="83" t="s">
        <v>589</v>
      </c>
      <c r="D371" s="83" t="s">
        <v>549</v>
      </c>
      <c r="E371" s="67" t="s">
        <v>550</v>
      </c>
      <c r="F371" s="109">
        <v>314583</v>
      </c>
      <c r="G371" s="110">
        <v>0</v>
      </c>
      <c r="H371" s="93">
        <f t="shared" si="9"/>
        <v>0</v>
      </c>
    </row>
    <row r="372" spans="1:8" ht="20.25" customHeight="1">
      <c r="A372" s="83" t="s">
        <v>636</v>
      </c>
      <c r="B372" s="83" t="s">
        <v>626</v>
      </c>
      <c r="C372" s="83" t="s">
        <v>637</v>
      </c>
      <c r="D372" s="83"/>
      <c r="E372" s="67" t="s">
        <v>638</v>
      </c>
      <c r="F372" s="96">
        <f>SUM(F373:F374)</f>
        <v>651000</v>
      </c>
      <c r="G372" s="96">
        <f>SUM(G373:G374)</f>
        <v>318475.41</v>
      </c>
      <c r="H372" s="93">
        <f t="shared" si="9"/>
        <v>48.92095391705069</v>
      </c>
    </row>
    <row r="373" spans="1:8" ht="33" customHeight="1">
      <c r="A373" s="83" t="s">
        <v>639</v>
      </c>
      <c r="B373" s="83" t="s">
        <v>626</v>
      </c>
      <c r="C373" s="83" t="s">
        <v>637</v>
      </c>
      <c r="D373" s="95" t="s">
        <v>57</v>
      </c>
      <c r="E373" s="67" t="s">
        <v>58</v>
      </c>
      <c r="F373" s="109">
        <v>318475.41</v>
      </c>
      <c r="G373" s="109">
        <v>318475.41</v>
      </c>
      <c r="H373" s="93">
        <f t="shared" si="9"/>
        <v>100</v>
      </c>
    </row>
    <row r="374" spans="1:8" ht="18" customHeight="1">
      <c r="A374" s="83" t="s">
        <v>640</v>
      </c>
      <c r="B374" s="83" t="s">
        <v>626</v>
      </c>
      <c r="C374" s="83" t="s">
        <v>637</v>
      </c>
      <c r="D374" s="95" t="s">
        <v>549</v>
      </c>
      <c r="E374" s="67" t="s">
        <v>550</v>
      </c>
      <c r="F374" s="109">
        <v>332524.59</v>
      </c>
      <c r="G374" s="110">
        <v>0</v>
      </c>
      <c r="H374" s="93">
        <f t="shared" si="9"/>
        <v>0</v>
      </c>
    </row>
    <row r="375" spans="1:8" ht="21" customHeight="1">
      <c r="A375" s="83" t="s">
        <v>641</v>
      </c>
      <c r="B375" s="83" t="s">
        <v>626</v>
      </c>
      <c r="C375" s="83" t="s">
        <v>642</v>
      </c>
      <c r="D375" s="95"/>
      <c r="E375" s="99" t="s">
        <v>643</v>
      </c>
      <c r="F375" s="91">
        <f>SUM(F376:F379)</f>
        <v>3140600</v>
      </c>
      <c r="G375" s="91">
        <f>SUM(G376:G379)</f>
        <v>1120833.9</v>
      </c>
      <c r="H375" s="93">
        <f t="shared" si="9"/>
        <v>35.688527669871995</v>
      </c>
    </row>
    <row r="376" spans="1:8" ht="55.5" customHeight="1">
      <c r="A376" s="83" t="s">
        <v>644</v>
      </c>
      <c r="B376" s="83" t="s">
        <v>626</v>
      </c>
      <c r="C376" s="83" t="s">
        <v>642</v>
      </c>
      <c r="D376" s="95" t="s">
        <v>1222</v>
      </c>
      <c r="E376" s="67" t="s">
        <v>1223</v>
      </c>
      <c r="F376" s="109">
        <v>39501</v>
      </c>
      <c r="G376" s="110">
        <v>22552.1</v>
      </c>
      <c r="H376" s="93">
        <f t="shared" si="9"/>
        <v>57.092478671426036</v>
      </c>
    </row>
    <row r="377" spans="1:8" ht="36.75" customHeight="1">
      <c r="A377" s="83" t="s">
        <v>645</v>
      </c>
      <c r="B377" s="83" t="s">
        <v>626</v>
      </c>
      <c r="C377" s="83" t="s">
        <v>642</v>
      </c>
      <c r="D377" s="95" t="s">
        <v>1228</v>
      </c>
      <c r="E377" s="99" t="s">
        <v>0</v>
      </c>
      <c r="F377" s="109">
        <v>2182468</v>
      </c>
      <c r="G377" s="110">
        <v>179650.8</v>
      </c>
      <c r="H377" s="93">
        <f t="shared" si="9"/>
        <v>8.23154337199904</v>
      </c>
    </row>
    <row r="378" spans="1:8" ht="19.5" customHeight="1">
      <c r="A378" s="83" t="s">
        <v>646</v>
      </c>
      <c r="B378" s="83" t="s">
        <v>626</v>
      </c>
      <c r="C378" s="83" t="s">
        <v>642</v>
      </c>
      <c r="D378" s="95" t="s">
        <v>62</v>
      </c>
      <c r="E378" s="67" t="s">
        <v>63</v>
      </c>
      <c r="F378" s="109">
        <v>695677</v>
      </c>
      <c r="G378" s="109">
        <v>695677</v>
      </c>
      <c r="H378" s="93">
        <f t="shared" si="9"/>
        <v>100</v>
      </c>
    </row>
    <row r="379" spans="1:8" ht="19.5" customHeight="1">
      <c r="A379" s="83" t="s">
        <v>647</v>
      </c>
      <c r="B379" s="83" t="s">
        <v>626</v>
      </c>
      <c r="C379" s="83" t="s">
        <v>642</v>
      </c>
      <c r="D379" s="95" t="s">
        <v>549</v>
      </c>
      <c r="E379" s="67" t="s">
        <v>550</v>
      </c>
      <c r="F379" s="109">
        <v>222954</v>
      </c>
      <c r="G379" s="109">
        <v>222954</v>
      </c>
      <c r="H379" s="93">
        <f t="shared" si="9"/>
        <v>100</v>
      </c>
    </row>
    <row r="380" spans="1:8" ht="56.25" customHeight="1">
      <c r="A380" s="83" t="s">
        <v>648</v>
      </c>
      <c r="B380" s="83" t="s">
        <v>626</v>
      </c>
      <c r="C380" s="83" t="s">
        <v>613</v>
      </c>
      <c r="D380" s="95"/>
      <c r="E380" s="67" t="s">
        <v>614</v>
      </c>
      <c r="F380" s="96">
        <f>F381+F386</f>
        <v>131960</v>
      </c>
      <c r="G380" s="98">
        <f>G381+G386</f>
        <v>83000</v>
      </c>
      <c r="H380" s="93">
        <f t="shared" si="9"/>
        <v>62.89784783267657</v>
      </c>
    </row>
    <row r="381" spans="1:8" ht="33.75" customHeight="1">
      <c r="A381" s="83" t="s">
        <v>649</v>
      </c>
      <c r="B381" s="83" t="s">
        <v>626</v>
      </c>
      <c r="C381" s="83" t="s">
        <v>650</v>
      </c>
      <c r="D381" s="95"/>
      <c r="E381" s="67" t="s">
        <v>651</v>
      </c>
      <c r="F381" s="96">
        <f>F382</f>
        <v>91960</v>
      </c>
      <c r="G381" s="98">
        <f>G382</f>
        <v>43000</v>
      </c>
      <c r="H381" s="93">
        <f t="shared" si="9"/>
        <v>46.75946063505872</v>
      </c>
    </row>
    <row r="382" spans="1:8" ht="33.75" customHeight="1">
      <c r="A382" s="83" t="s">
        <v>652</v>
      </c>
      <c r="B382" s="83" t="s">
        <v>626</v>
      </c>
      <c r="C382" s="83" t="s">
        <v>653</v>
      </c>
      <c r="D382" s="95"/>
      <c r="E382" s="67" t="s">
        <v>654</v>
      </c>
      <c r="F382" s="96">
        <f>SUM(F383:F384)</f>
        <v>91960</v>
      </c>
      <c r="G382" s="96">
        <f>SUM(G383:G384)</f>
        <v>43000</v>
      </c>
      <c r="H382" s="93">
        <f t="shared" si="9"/>
        <v>46.75946063505872</v>
      </c>
    </row>
    <row r="383" spans="1:8" ht="47.25" customHeight="1">
      <c r="A383" s="83" t="s">
        <v>655</v>
      </c>
      <c r="B383" s="83" t="s">
        <v>626</v>
      </c>
      <c r="C383" s="83" t="s">
        <v>653</v>
      </c>
      <c r="D383" s="95" t="s">
        <v>1222</v>
      </c>
      <c r="E383" s="99" t="s">
        <v>1223</v>
      </c>
      <c r="F383" s="109">
        <v>52000</v>
      </c>
      <c r="G383" s="110">
        <v>43000</v>
      </c>
      <c r="H383" s="93">
        <f t="shared" si="9"/>
        <v>82.6923076923077</v>
      </c>
    </row>
    <row r="384" spans="1:8" ht="46.5" customHeight="1">
      <c r="A384" s="83" t="s">
        <v>656</v>
      </c>
      <c r="B384" s="120" t="s">
        <v>626</v>
      </c>
      <c r="C384" s="120" t="s">
        <v>653</v>
      </c>
      <c r="D384" s="121" t="s">
        <v>657</v>
      </c>
      <c r="E384" s="139" t="s">
        <v>658</v>
      </c>
      <c r="F384" s="109">
        <v>39960</v>
      </c>
      <c r="G384" s="110">
        <v>0</v>
      </c>
      <c r="H384" s="93">
        <f t="shared" si="9"/>
        <v>0</v>
      </c>
    </row>
    <row r="385" spans="1:8" ht="30.75" customHeight="1">
      <c r="A385" s="83" t="s">
        <v>659</v>
      </c>
      <c r="B385" s="83" t="s">
        <v>626</v>
      </c>
      <c r="C385" s="83" t="s">
        <v>660</v>
      </c>
      <c r="D385" s="95"/>
      <c r="E385" s="139" t="s">
        <v>661</v>
      </c>
      <c r="F385" s="140">
        <f>F386</f>
        <v>40000</v>
      </c>
      <c r="G385" s="98">
        <f>G386</f>
        <v>40000</v>
      </c>
      <c r="H385" s="93">
        <f t="shared" si="9"/>
        <v>100</v>
      </c>
    </row>
    <row r="386" spans="1:8" ht="48.75" customHeight="1">
      <c r="A386" s="83" t="s">
        <v>662</v>
      </c>
      <c r="B386" s="83" t="s">
        <v>626</v>
      </c>
      <c r="C386" s="83" t="s">
        <v>663</v>
      </c>
      <c r="D386" s="95"/>
      <c r="E386" s="141" t="s">
        <v>664</v>
      </c>
      <c r="F386" s="91">
        <f>F387</f>
        <v>40000</v>
      </c>
      <c r="G386" s="92">
        <f>G387</f>
        <v>40000</v>
      </c>
      <c r="H386" s="93">
        <f t="shared" si="9"/>
        <v>100</v>
      </c>
    </row>
    <row r="387" spans="1:8" ht="48.75" customHeight="1">
      <c r="A387" s="83" t="s">
        <v>665</v>
      </c>
      <c r="B387" s="83" t="s">
        <v>626</v>
      </c>
      <c r="C387" s="83" t="s">
        <v>663</v>
      </c>
      <c r="D387" s="95" t="s">
        <v>1222</v>
      </c>
      <c r="E387" s="67" t="s">
        <v>1223</v>
      </c>
      <c r="F387" s="107">
        <v>40000</v>
      </c>
      <c r="G387" s="108">
        <v>40000</v>
      </c>
      <c r="H387" s="93">
        <f t="shared" si="9"/>
        <v>100</v>
      </c>
    </row>
    <row r="388" spans="1:8" ht="22.5" customHeight="1">
      <c r="A388" s="83" t="s">
        <v>666</v>
      </c>
      <c r="B388" s="84" t="s">
        <v>667</v>
      </c>
      <c r="C388" s="84"/>
      <c r="D388" s="85"/>
      <c r="E388" s="89" t="s">
        <v>668</v>
      </c>
      <c r="F388" s="87">
        <f>F389</f>
        <v>8048398</v>
      </c>
      <c r="G388" s="101">
        <f>G389</f>
        <v>3921930.8499999996</v>
      </c>
      <c r="H388" s="88">
        <f t="shared" si="9"/>
        <v>48.72933532859582</v>
      </c>
    </row>
    <row r="389" spans="1:8" ht="46.5" customHeight="1">
      <c r="A389" s="83" t="s">
        <v>669</v>
      </c>
      <c r="B389" s="83" t="s">
        <v>667</v>
      </c>
      <c r="C389" s="83" t="s">
        <v>492</v>
      </c>
      <c r="D389" s="95"/>
      <c r="E389" s="67" t="s">
        <v>493</v>
      </c>
      <c r="F389" s="91">
        <f>F390</f>
        <v>8048398</v>
      </c>
      <c r="G389" s="92">
        <f>G390</f>
        <v>3921930.8499999996</v>
      </c>
      <c r="H389" s="93">
        <f t="shared" si="9"/>
        <v>48.72933532859582</v>
      </c>
    </row>
    <row r="390" spans="1:8" ht="63" customHeight="1">
      <c r="A390" s="83" t="s">
        <v>670</v>
      </c>
      <c r="B390" s="83" t="s">
        <v>667</v>
      </c>
      <c r="C390" s="83" t="s">
        <v>671</v>
      </c>
      <c r="D390" s="95"/>
      <c r="E390" s="67" t="s">
        <v>672</v>
      </c>
      <c r="F390" s="96">
        <f>F391+F393+F399+F397</f>
        <v>8048398</v>
      </c>
      <c r="G390" s="98">
        <f>G391+G393+G399+G397</f>
        <v>3921930.8499999996</v>
      </c>
      <c r="H390" s="93">
        <f t="shared" si="9"/>
        <v>48.72933532859582</v>
      </c>
    </row>
    <row r="391" spans="1:8" ht="28.5" customHeight="1">
      <c r="A391" s="83" t="s">
        <v>673</v>
      </c>
      <c r="B391" s="83" t="s">
        <v>667</v>
      </c>
      <c r="C391" s="83" t="s">
        <v>674</v>
      </c>
      <c r="D391" s="95"/>
      <c r="E391" s="104" t="s">
        <v>675</v>
      </c>
      <c r="F391" s="91">
        <f>F392</f>
        <v>49184</v>
      </c>
      <c r="G391" s="92">
        <f>G392</f>
        <v>0</v>
      </c>
      <c r="H391" s="93">
        <f aca="true" t="shared" si="10" ref="H391:H454">G391/F391*100</f>
        <v>0</v>
      </c>
    </row>
    <row r="392" spans="1:8" ht="49.5" customHeight="1">
      <c r="A392" s="83" t="s">
        <v>676</v>
      </c>
      <c r="B392" s="83" t="s">
        <v>667</v>
      </c>
      <c r="C392" s="83" t="s">
        <v>674</v>
      </c>
      <c r="D392" s="95" t="s">
        <v>1222</v>
      </c>
      <c r="E392" s="67" t="s">
        <v>1223</v>
      </c>
      <c r="F392" s="96">
        <f>160000-100000-10816</f>
        <v>49184</v>
      </c>
      <c r="G392" s="98">
        <v>0</v>
      </c>
      <c r="H392" s="93">
        <f t="shared" si="10"/>
        <v>0</v>
      </c>
    </row>
    <row r="393" spans="1:8" ht="33.75" customHeight="1">
      <c r="A393" s="83" t="s">
        <v>677</v>
      </c>
      <c r="B393" s="83" t="s">
        <v>667</v>
      </c>
      <c r="C393" s="83" t="s">
        <v>678</v>
      </c>
      <c r="D393" s="95"/>
      <c r="E393" s="67" t="s">
        <v>679</v>
      </c>
      <c r="F393" s="96">
        <f>SUM(F394:F396)</f>
        <v>2851457</v>
      </c>
      <c r="G393" s="98">
        <f>SUM(G394:G396)</f>
        <v>1269063.52</v>
      </c>
      <c r="H393" s="93">
        <f t="shared" si="10"/>
        <v>44.505791951272634</v>
      </c>
    </row>
    <row r="394" spans="1:8" ht="30.75" customHeight="1">
      <c r="A394" s="83" t="s">
        <v>680</v>
      </c>
      <c r="B394" s="83" t="s">
        <v>667</v>
      </c>
      <c r="C394" s="83" t="s">
        <v>678</v>
      </c>
      <c r="D394" s="95" t="s">
        <v>1216</v>
      </c>
      <c r="E394" s="67" t="s">
        <v>1217</v>
      </c>
      <c r="F394" s="96">
        <f>2095832+84054</f>
        <v>2179886</v>
      </c>
      <c r="G394" s="98">
        <v>1087305.65</v>
      </c>
      <c r="H394" s="93">
        <f t="shared" si="10"/>
        <v>49.8790143154275</v>
      </c>
    </row>
    <row r="395" spans="1:8" ht="56.25" customHeight="1">
      <c r="A395" s="83" t="s">
        <v>681</v>
      </c>
      <c r="B395" s="83" t="s">
        <v>667</v>
      </c>
      <c r="C395" s="83" t="s">
        <v>678</v>
      </c>
      <c r="D395" s="95" t="s">
        <v>1222</v>
      </c>
      <c r="E395" s="67" t="s">
        <v>1223</v>
      </c>
      <c r="F395" s="91">
        <v>540461</v>
      </c>
      <c r="G395" s="92">
        <v>149128.87</v>
      </c>
      <c r="H395" s="93">
        <f t="shared" si="10"/>
        <v>27.59290124541826</v>
      </c>
    </row>
    <row r="396" spans="1:8" ht="20.25" customHeight="1">
      <c r="A396" s="83" t="s">
        <v>682</v>
      </c>
      <c r="B396" s="83" t="s">
        <v>667</v>
      </c>
      <c r="C396" s="83" t="s">
        <v>678</v>
      </c>
      <c r="D396" s="95" t="s">
        <v>5</v>
      </c>
      <c r="E396" s="67" t="s">
        <v>6</v>
      </c>
      <c r="F396" s="91">
        <f>120294+10816</f>
        <v>131110</v>
      </c>
      <c r="G396" s="92">
        <v>32629</v>
      </c>
      <c r="H396" s="93">
        <f t="shared" si="10"/>
        <v>24.88673632827397</v>
      </c>
    </row>
    <row r="397" spans="1:8" ht="33.75" customHeight="1">
      <c r="A397" s="83" t="s">
        <v>683</v>
      </c>
      <c r="B397" s="83" t="s">
        <v>667</v>
      </c>
      <c r="C397" s="83" t="s">
        <v>684</v>
      </c>
      <c r="D397" s="95"/>
      <c r="E397" s="67" t="s">
        <v>1225</v>
      </c>
      <c r="F397" s="91">
        <f>F398</f>
        <v>9539</v>
      </c>
      <c r="G397" s="92">
        <f>G398</f>
        <v>9538.17</v>
      </c>
      <c r="H397" s="93">
        <f t="shared" si="10"/>
        <v>99.99129887828913</v>
      </c>
    </row>
    <row r="398" spans="1:8" ht="33.75" customHeight="1">
      <c r="A398" s="83" t="s">
        <v>685</v>
      </c>
      <c r="B398" s="83" t="s">
        <v>667</v>
      </c>
      <c r="C398" s="83" t="s">
        <v>684</v>
      </c>
      <c r="D398" s="95" t="s">
        <v>1222</v>
      </c>
      <c r="E398" s="99" t="s">
        <v>1223</v>
      </c>
      <c r="F398" s="91">
        <v>9539</v>
      </c>
      <c r="G398" s="92">
        <v>9538.17</v>
      </c>
      <c r="H398" s="93">
        <f t="shared" si="10"/>
        <v>99.99129887828913</v>
      </c>
    </row>
    <row r="399" spans="1:8" ht="18.75" customHeight="1">
      <c r="A399" s="83" t="s">
        <v>686</v>
      </c>
      <c r="B399" s="83" t="s">
        <v>667</v>
      </c>
      <c r="C399" s="83" t="s">
        <v>687</v>
      </c>
      <c r="D399" s="95"/>
      <c r="E399" s="67" t="s">
        <v>688</v>
      </c>
      <c r="F399" s="96">
        <f>SUM(F400:F402)</f>
        <v>5138218</v>
      </c>
      <c r="G399" s="96">
        <f>SUM(G400:G402)</f>
        <v>2643329.1599999997</v>
      </c>
      <c r="H399" s="93">
        <f t="shared" si="10"/>
        <v>51.44447277246702</v>
      </c>
    </row>
    <row r="400" spans="1:8" ht="33.75" customHeight="1">
      <c r="A400" s="83" t="s">
        <v>689</v>
      </c>
      <c r="B400" s="83" t="s">
        <v>667</v>
      </c>
      <c r="C400" s="83" t="s">
        <v>687</v>
      </c>
      <c r="D400" s="95" t="s">
        <v>57</v>
      </c>
      <c r="E400" s="67" t="s">
        <v>58</v>
      </c>
      <c r="F400" s="91">
        <f>4458218</f>
        <v>4458218</v>
      </c>
      <c r="G400" s="92">
        <v>2212250.86</v>
      </c>
      <c r="H400" s="93">
        <f t="shared" si="10"/>
        <v>49.62186371325942</v>
      </c>
    </row>
    <row r="401" spans="1:8" ht="54.75" customHeight="1">
      <c r="A401" s="83" t="s">
        <v>690</v>
      </c>
      <c r="B401" s="83" t="s">
        <v>667</v>
      </c>
      <c r="C401" s="83" t="s">
        <v>687</v>
      </c>
      <c r="D401" s="95" t="s">
        <v>1222</v>
      </c>
      <c r="E401" s="99" t="s">
        <v>1223</v>
      </c>
      <c r="F401" s="91">
        <v>678616</v>
      </c>
      <c r="G401" s="92">
        <v>430732.3</v>
      </c>
      <c r="H401" s="93">
        <f t="shared" si="10"/>
        <v>63.472169828002876</v>
      </c>
    </row>
    <row r="402" spans="1:8" ht="21" customHeight="1">
      <c r="A402" s="83" t="s">
        <v>691</v>
      </c>
      <c r="B402" s="83" t="s">
        <v>667</v>
      </c>
      <c r="C402" s="83" t="s">
        <v>687</v>
      </c>
      <c r="D402" s="95" t="s">
        <v>5</v>
      </c>
      <c r="E402" s="67" t="s">
        <v>6</v>
      </c>
      <c r="F402" s="91">
        <v>1384</v>
      </c>
      <c r="G402" s="92">
        <v>346</v>
      </c>
      <c r="H402" s="93">
        <f t="shared" si="10"/>
        <v>25</v>
      </c>
    </row>
    <row r="403" spans="1:8" ht="17.25" customHeight="1">
      <c r="A403" s="83" t="s">
        <v>692</v>
      </c>
      <c r="B403" s="84" t="s">
        <v>693</v>
      </c>
      <c r="C403" s="84"/>
      <c r="D403" s="85"/>
      <c r="E403" s="89" t="s">
        <v>694</v>
      </c>
      <c r="F403" s="87">
        <f>F404+F423</f>
        <v>25549421.759999998</v>
      </c>
      <c r="G403" s="101">
        <f>G404+G423</f>
        <v>13897375.5</v>
      </c>
      <c r="H403" s="88">
        <f t="shared" si="10"/>
        <v>54.3940901306723</v>
      </c>
    </row>
    <row r="404" spans="1:8" ht="13.5" customHeight="1">
      <c r="A404" s="83" t="s">
        <v>695</v>
      </c>
      <c r="B404" s="84" t="s">
        <v>696</v>
      </c>
      <c r="C404" s="84"/>
      <c r="D404" s="85"/>
      <c r="E404" s="89" t="s">
        <v>697</v>
      </c>
      <c r="F404" s="87">
        <f>F405</f>
        <v>23099841.759999998</v>
      </c>
      <c r="G404" s="101">
        <f>G405</f>
        <v>12433375.12</v>
      </c>
      <c r="H404" s="88">
        <f t="shared" si="10"/>
        <v>53.82450342811352</v>
      </c>
    </row>
    <row r="405" spans="1:8" ht="38.25" customHeight="1">
      <c r="A405" s="83" t="s">
        <v>698</v>
      </c>
      <c r="B405" s="83" t="s">
        <v>696</v>
      </c>
      <c r="C405" s="83" t="s">
        <v>699</v>
      </c>
      <c r="D405" s="85"/>
      <c r="E405" s="67" t="s">
        <v>700</v>
      </c>
      <c r="F405" s="91">
        <f>F406+F418+F411</f>
        <v>23099841.759999998</v>
      </c>
      <c r="G405" s="92">
        <f>G406+G418+G411</f>
        <v>12433375.12</v>
      </c>
      <c r="H405" s="93">
        <f t="shared" si="10"/>
        <v>53.82450342811352</v>
      </c>
    </row>
    <row r="406" spans="1:8" ht="36" customHeight="1">
      <c r="A406" s="83" t="s">
        <v>701</v>
      </c>
      <c r="B406" s="83" t="s">
        <v>696</v>
      </c>
      <c r="C406" s="83" t="s">
        <v>702</v>
      </c>
      <c r="D406" s="85"/>
      <c r="E406" s="67" t="s">
        <v>703</v>
      </c>
      <c r="F406" s="91">
        <f>F407+F409</f>
        <v>13297681.76</v>
      </c>
      <c r="G406" s="92">
        <f>G407+G409</f>
        <v>7826777.76</v>
      </c>
      <c r="H406" s="93">
        <f t="shared" si="10"/>
        <v>58.85821229038045</v>
      </c>
    </row>
    <row r="407" spans="1:8" ht="35.25" customHeight="1">
      <c r="A407" s="83" t="s">
        <v>704</v>
      </c>
      <c r="B407" s="83" t="s">
        <v>696</v>
      </c>
      <c r="C407" s="83" t="s">
        <v>705</v>
      </c>
      <c r="D407" s="95"/>
      <c r="E407" s="67" t="s">
        <v>706</v>
      </c>
      <c r="F407" s="96">
        <f>F408</f>
        <v>11047704</v>
      </c>
      <c r="G407" s="98">
        <f>G408</f>
        <v>5576800</v>
      </c>
      <c r="H407" s="93">
        <f t="shared" si="10"/>
        <v>50.47926700425718</v>
      </c>
    </row>
    <row r="408" spans="1:8" ht="21.75" customHeight="1">
      <c r="A408" s="83" t="s">
        <v>707</v>
      </c>
      <c r="B408" s="83" t="s">
        <v>696</v>
      </c>
      <c r="C408" s="83" t="s">
        <v>705</v>
      </c>
      <c r="D408" s="95" t="s">
        <v>549</v>
      </c>
      <c r="E408" s="67" t="s">
        <v>550</v>
      </c>
      <c r="F408" s="91">
        <f>10306954+600000+100000+40750</f>
        <v>11047704</v>
      </c>
      <c r="G408" s="92">
        <v>5576800</v>
      </c>
      <c r="H408" s="93">
        <f t="shared" si="10"/>
        <v>50.47926700425718</v>
      </c>
    </row>
    <row r="409" spans="1:8" ht="31.5" customHeight="1">
      <c r="A409" s="83" t="s">
        <v>708</v>
      </c>
      <c r="B409" s="83" t="s">
        <v>696</v>
      </c>
      <c r="C409" s="83" t="s">
        <v>709</v>
      </c>
      <c r="D409" s="95"/>
      <c r="E409" s="67" t="s">
        <v>1225</v>
      </c>
      <c r="F409" s="91">
        <f>F410</f>
        <v>2249977.76</v>
      </c>
      <c r="G409" s="92">
        <f>G410</f>
        <v>2249977.76</v>
      </c>
      <c r="H409" s="93">
        <f t="shared" si="10"/>
        <v>100</v>
      </c>
    </row>
    <row r="410" spans="1:8" ht="22.5" customHeight="1">
      <c r="A410" s="83" t="s">
        <v>710</v>
      </c>
      <c r="B410" s="83" t="s">
        <v>696</v>
      </c>
      <c r="C410" s="83" t="s">
        <v>709</v>
      </c>
      <c r="D410" s="95" t="s">
        <v>549</v>
      </c>
      <c r="E410" s="67" t="s">
        <v>550</v>
      </c>
      <c r="F410" s="91">
        <v>2249977.76</v>
      </c>
      <c r="G410" s="92">
        <v>2249977.76</v>
      </c>
      <c r="H410" s="93">
        <f t="shared" si="10"/>
        <v>100</v>
      </c>
    </row>
    <row r="411" spans="1:8" ht="18" customHeight="1">
      <c r="A411" s="83" t="s">
        <v>711</v>
      </c>
      <c r="B411" s="83" t="s">
        <v>696</v>
      </c>
      <c r="C411" s="83" t="s">
        <v>712</v>
      </c>
      <c r="D411" s="95"/>
      <c r="E411" s="67" t="s">
        <v>713</v>
      </c>
      <c r="F411" s="91">
        <f>F412+F414+F416</f>
        <v>2899024</v>
      </c>
      <c r="G411" s="92">
        <f>G412+G414+G416</f>
        <v>1133830.36</v>
      </c>
      <c r="H411" s="93">
        <f t="shared" si="10"/>
        <v>39.11076141487618</v>
      </c>
    </row>
    <row r="412" spans="1:8" ht="63" customHeight="1">
      <c r="A412" s="83" t="s">
        <v>714</v>
      </c>
      <c r="B412" s="83" t="s">
        <v>696</v>
      </c>
      <c r="C412" s="83" t="s">
        <v>715</v>
      </c>
      <c r="D412" s="95"/>
      <c r="E412" s="67" t="s">
        <v>716</v>
      </c>
      <c r="F412" s="91">
        <f>F413</f>
        <v>2209974</v>
      </c>
      <c r="G412" s="92">
        <f>G413</f>
        <v>1083830.36</v>
      </c>
      <c r="H412" s="93">
        <f t="shared" si="10"/>
        <v>49.04267471020021</v>
      </c>
    </row>
    <row r="413" spans="1:8" ht="24" customHeight="1">
      <c r="A413" s="83" t="s">
        <v>717</v>
      </c>
      <c r="B413" s="83" t="s">
        <v>696</v>
      </c>
      <c r="C413" s="83" t="s">
        <v>715</v>
      </c>
      <c r="D413" s="95" t="s">
        <v>62</v>
      </c>
      <c r="E413" s="67" t="s">
        <v>63</v>
      </c>
      <c r="F413" s="96">
        <f>1617974+592000</f>
        <v>2209974</v>
      </c>
      <c r="G413" s="98">
        <v>1083830.36</v>
      </c>
      <c r="H413" s="93">
        <f t="shared" si="10"/>
        <v>49.04267471020021</v>
      </c>
    </row>
    <row r="414" spans="1:8" ht="79.5" customHeight="1">
      <c r="A414" s="83" t="s">
        <v>718</v>
      </c>
      <c r="B414" s="83" t="s">
        <v>696</v>
      </c>
      <c r="C414" s="83" t="s">
        <v>719</v>
      </c>
      <c r="D414" s="95"/>
      <c r="E414" s="67" t="s">
        <v>720</v>
      </c>
      <c r="F414" s="96">
        <f>F415</f>
        <v>100000</v>
      </c>
      <c r="G414" s="98">
        <f>G415</f>
        <v>0</v>
      </c>
      <c r="H414" s="93">
        <f t="shared" si="10"/>
        <v>0</v>
      </c>
    </row>
    <row r="415" spans="1:8" ht="24" customHeight="1">
      <c r="A415" s="83" t="s">
        <v>721</v>
      </c>
      <c r="B415" s="83" t="s">
        <v>696</v>
      </c>
      <c r="C415" s="83" t="s">
        <v>719</v>
      </c>
      <c r="D415" s="95" t="s">
        <v>62</v>
      </c>
      <c r="E415" s="67" t="s">
        <v>63</v>
      </c>
      <c r="F415" s="96">
        <v>100000</v>
      </c>
      <c r="G415" s="98">
        <v>0</v>
      </c>
      <c r="H415" s="93">
        <f t="shared" si="10"/>
        <v>0</v>
      </c>
    </row>
    <row r="416" spans="1:8" ht="30.75" customHeight="1">
      <c r="A416" s="83" t="s">
        <v>522</v>
      </c>
      <c r="B416" s="83" t="s">
        <v>696</v>
      </c>
      <c r="C416" s="83" t="s">
        <v>722</v>
      </c>
      <c r="D416" s="95"/>
      <c r="E416" s="104" t="s">
        <v>723</v>
      </c>
      <c r="F416" s="96">
        <f>F417</f>
        <v>589050</v>
      </c>
      <c r="G416" s="98">
        <f>G417</f>
        <v>50000</v>
      </c>
      <c r="H416" s="93">
        <f t="shared" si="10"/>
        <v>8.48824378236143</v>
      </c>
    </row>
    <row r="417" spans="1:8" ht="27.75" customHeight="1">
      <c r="A417" s="83" t="s">
        <v>724</v>
      </c>
      <c r="B417" s="83" t="s">
        <v>696</v>
      </c>
      <c r="C417" s="83" t="s">
        <v>722</v>
      </c>
      <c r="D417" s="95" t="s">
        <v>62</v>
      </c>
      <c r="E417" s="67" t="s">
        <v>63</v>
      </c>
      <c r="F417" s="96">
        <f>1244840-592000-63790</f>
        <v>589050</v>
      </c>
      <c r="G417" s="98">
        <v>50000</v>
      </c>
      <c r="H417" s="93">
        <f t="shared" si="10"/>
        <v>8.48824378236143</v>
      </c>
    </row>
    <row r="418" spans="1:8" ht="30.75" customHeight="1">
      <c r="A418" s="83" t="s">
        <v>725</v>
      </c>
      <c r="B418" s="83" t="s">
        <v>696</v>
      </c>
      <c r="C418" s="83" t="s">
        <v>726</v>
      </c>
      <c r="D418" s="95"/>
      <c r="E418" s="67" t="s">
        <v>727</v>
      </c>
      <c r="F418" s="96">
        <f>F419+F421</f>
        <v>6903136</v>
      </c>
      <c r="G418" s="98">
        <f>G419+G421</f>
        <v>3472767</v>
      </c>
      <c r="H418" s="93">
        <f t="shared" si="10"/>
        <v>50.307092312827095</v>
      </c>
    </row>
    <row r="419" spans="1:8" ht="51" customHeight="1">
      <c r="A419" s="83" t="s">
        <v>728</v>
      </c>
      <c r="B419" s="83" t="s">
        <v>696</v>
      </c>
      <c r="C419" s="83" t="s">
        <v>729</v>
      </c>
      <c r="D419" s="95"/>
      <c r="E419" s="67" t="s">
        <v>730</v>
      </c>
      <c r="F419" s="91">
        <f>F420</f>
        <v>6725638</v>
      </c>
      <c r="G419" s="92">
        <f>G420</f>
        <v>3317526</v>
      </c>
      <c r="H419" s="93">
        <f t="shared" si="10"/>
        <v>49.32656203024903</v>
      </c>
    </row>
    <row r="420" spans="1:8" ht="27.75" customHeight="1">
      <c r="A420" s="83" t="s">
        <v>731</v>
      </c>
      <c r="B420" s="83" t="s">
        <v>696</v>
      </c>
      <c r="C420" s="83" t="s">
        <v>729</v>
      </c>
      <c r="D420" s="95" t="s">
        <v>62</v>
      </c>
      <c r="E420" s="67" t="s">
        <v>63</v>
      </c>
      <c r="F420" s="91">
        <f>6132198+570400+23040</f>
        <v>6725638</v>
      </c>
      <c r="G420" s="92">
        <v>3317526</v>
      </c>
      <c r="H420" s="93">
        <f t="shared" si="10"/>
        <v>49.32656203024903</v>
      </c>
    </row>
    <row r="421" spans="1:8" ht="130.5" customHeight="1">
      <c r="A421" s="83" t="s">
        <v>732</v>
      </c>
      <c r="B421" s="83" t="s">
        <v>696</v>
      </c>
      <c r="C421" s="83" t="s">
        <v>733</v>
      </c>
      <c r="D421" s="95"/>
      <c r="E421" s="142" t="s">
        <v>734</v>
      </c>
      <c r="F421" s="96">
        <f>F422</f>
        <v>177498</v>
      </c>
      <c r="G421" s="98">
        <f>G422</f>
        <v>155241</v>
      </c>
      <c r="H421" s="93">
        <f t="shared" si="10"/>
        <v>87.46070378257784</v>
      </c>
    </row>
    <row r="422" spans="1:8" ht="25.5" customHeight="1">
      <c r="A422" s="83" t="s">
        <v>735</v>
      </c>
      <c r="B422" s="83" t="s">
        <v>696</v>
      </c>
      <c r="C422" s="83" t="s">
        <v>733</v>
      </c>
      <c r="D422" s="95" t="s">
        <v>62</v>
      </c>
      <c r="E422" s="67" t="s">
        <v>63</v>
      </c>
      <c r="F422" s="96">
        <v>177498</v>
      </c>
      <c r="G422" s="98">
        <v>155241</v>
      </c>
      <c r="H422" s="93">
        <f t="shared" si="10"/>
        <v>87.46070378257784</v>
      </c>
    </row>
    <row r="423" spans="1:8" ht="30.75" customHeight="1">
      <c r="A423" s="83" t="s">
        <v>736</v>
      </c>
      <c r="B423" s="84" t="s">
        <v>737</v>
      </c>
      <c r="C423" s="84"/>
      <c r="D423" s="85"/>
      <c r="E423" s="143" t="s">
        <v>738</v>
      </c>
      <c r="F423" s="144">
        <f>F424</f>
        <v>2449580.0000000005</v>
      </c>
      <c r="G423" s="145">
        <f>G424</f>
        <v>1464000.38</v>
      </c>
      <c r="H423" s="88">
        <f t="shared" si="10"/>
        <v>59.765363041827555</v>
      </c>
    </row>
    <row r="424" spans="1:8" ht="35.25" customHeight="1">
      <c r="A424" s="83" t="s">
        <v>739</v>
      </c>
      <c r="B424" s="83" t="s">
        <v>737</v>
      </c>
      <c r="C424" s="83" t="s">
        <v>699</v>
      </c>
      <c r="D424" s="85"/>
      <c r="E424" s="67" t="s">
        <v>700</v>
      </c>
      <c r="F424" s="96">
        <f>F425</f>
        <v>2449580.0000000005</v>
      </c>
      <c r="G424" s="98">
        <f>G425</f>
        <v>1464000.38</v>
      </c>
      <c r="H424" s="93">
        <f t="shared" si="10"/>
        <v>59.765363041827555</v>
      </c>
    </row>
    <row r="425" spans="1:8" ht="54" customHeight="1">
      <c r="A425" s="83" t="s">
        <v>740</v>
      </c>
      <c r="B425" s="83" t="s">
        <v>737</v>
      </c>
      <c r="C425" s="83" t="s">
        <v>741</v>
      </c>
      <c r="D425" s="95"/>
      <c r="E425" s="67" t="s">
        <v>742</v>
      </c>
      <c r="F425" s="96">
        <f>F426+F429+F431+F433</f>
        <v>2449580.0000000005</v>
      </c>
      <c r="G425" s="96">
        <f>G426+G429+G431+G433</f>
        <v>1464000.38</v>
      </c>
      <c r="H425" s="93">
        <f t="shared" si="10"/>
        <v>59.765363041827555</v>
      </c>
    </row>
    <row r="426" spans="1:8" ht="39" customHeight="1">
      <c r="A426" s="83" t="s">
        <v>743</v>
      </c>
      <c r="B426" s="83" t="s">
        <v>737</v>
      </c>
      <c r="C426" s="83" t="s">
        <v>744</v>
      </c>
      <c r="D426" s="95"/>
      <c r="E426" s="104" t="s">
        <v>745</v>
      </c>
      <c r="F426" s="96">
        <f>SUM(F427:F428)</f>
        <v>785980</v>
      </c>
      <c r="G426" s="98">
        <f>SUM(G427:G428)</f>
        <v>422694.36</v>
      </c>
      <c r="H426" s="93">
        <f t="shared" si="10"/>
        <v>53.77927682638235</v>
      </c>
    </row>
    <row r="427" spans="1:8" ht="33" customHeight="1">
      <c r="A427" s="83" t="s">
        <v>746</v>
      </c>
      <c r="B427" s="83" t="s">
        <v>737</v>
      </c>
      <c r="C427" s="83" t="s">
        <v>744</v>
      </c>
      <c r="D427" s="95" t="s">
        <v>1216</v>
      </c>
      <c r="E427" s="67" t="s">
        <v>1217</v>
      </c>
      <c r="F427" s="96">
        <v>777580</v>
      </c>
      <c r="G427" s="98">
        <v>422694.36</v>
      </c>
      <c r="H427" s="93">
        <f t="shared" si="10"/>
        <v>54.36024074693279</v>
      </c>
    </row>
    <row r="428" spans="1:8" ht="47.25" customHeight="1">
      <c r="A428" s="83" t="s">
        <v>747</v>
      </c>
      <c r="B428" s="83" t="s">
        <v>737</v>
      </c>
      <c r="C428" s="83" t="s">
        <v>744</v>
      </c>
      <c r="D428" s="95" t="s">
        <v>1222</v>
      </c>
      <c r="E428" s="99" t="s">
        <v>1223</v>
      </c>
      <c r="F428" s="96">
        <v>8400</v>
      </c>
      <c r="G428" s="98">
        <v>0</v>
      </c>
      <c r="H428" s="93">
        <f t="shared" si="10"/>
        <v>0</v>
      </c>
    </row>
    <row r="429" spans="1:8" ht="21.75" customHeight="1">
      <c r="A429" s="83" t="s">
        <v>748</v>
      </c>
      <c r="B429" s="83" t="s">
        <v>737</v>
      </c>
      <c r="C429" s="83" t="s">
        <v>749</v>
      </c>
      <c r="D429" s="95"/>
      <c r="E429" s="67" t="s">
        <v>750</v>
      </c>
      <c r="F429" s="96">
        <f>F430</f>
        <v>1387000.36</v>
      </c>
      <c r="G429" s="98">
        <f>G430</f>
        <v>764707.16</v>
      </c>
      <c r="H429" s="93">
        <f t="shared" si="10"/>
        <v>55.13388331059986</v>
      </c>
    </row>
    <row r="430" spans="1:8" ht="47.25" customHeight="1">
      <c r="A430" s="83" t="s">
        <v>751</v>
      </c>
      <c r="B430" s="83" t="s">
        <v>737</v>
      </c>
      <c r="C430" s="83" t="s">
        <v>749</v>
      </c>
      <c r="D430" s="95" t="s">
        <v>1222</v>
      </c>
      <c r="E430" s="99" t="s">
        <v>1223</v>
      </c>
      <c r="F430" s="91">
        <v>1387000.36</v>
      </c>
      <c r="G430" s="92">
        <v>764707.16</v>
      </c>
      <c r="H430" s="93">
        <f t="shared" si="10"/>
        <v>55.13388331059986</v>
      </c>
    </row>
    <row r="431" spans="1:8" ht="30.75" customHeight="1">
      <c r="A431" s="83" t="s">
        <v>752</v>
      </c>
      <c r="B431" s="83" t="s">
        <v>737</v>
      </c>
      <c r="C431" s="83" t="s">
        <v>753</v>
      </c>
      <c r="D431" s="95"/>
      <c r="E431" s="67" t="s">
        <v>754</v>
      </c>
      <c r="F431" s="96">
        <f>F432</f>
        <v>63600</v>
      </c>
      <c r="G431" s="98">
        <f>G432</f>
        <v>63599.22</v>
      </c>
      <c r="H431" s="93">
        <f t="shared" si="10"/>
        <v>99.99877358490566</v>
      </c>
    </row>
    <row r="432" spans="1:8" ht="48" customHeight="1">
      <c r="A432" s="83" t="s">
        <v>755</v>
      </c>
      <c r="B432" s="83" t="s">
        <v>737</v>
      </c>
      <c r="C432" s="83" t="s">
        <v>753</v>
      </c>
      <c r="D432" s="95" t="s">
        <v>1222</v>
      </c>
      <c r="E432" s="99" t="s">
        <v>1223</v>
      </c>
      <c r="F432" s="91">
        <v>63600</v>
      </c>
      <c r="G432" s="92">
        <v>63599.22</v>
      </c>
      <c r="H432" s="93">
        <f t="shared" si="10"/>
        <v>99.99877358490566</v>
      </c>
    </row>
    <row r="433" spans="1:8" ht="30" customHeight="1">
      <c r="A433" s="83" t="s">
        <v>756</v>
      </c>
      <c r="B433" s="83" t="s">
        <v>737</v>
      </c>
      <c r="C433" s="83" t="s">
        <v>757</v>
      </c>
      <c r="D433" s="95"/>
      <c r="E433" s="67" t="s">
        <v>1225</v>
      </c>
      <c r="F433" s="91">
        <f>F434</f>
        <v>212999.64</v>
      </c>
      <c r="G433" s="92">
        <f>G434</f>
        <v>212999.64</v>
      </c>
      <c r="H433" s="93">
        <f t="shared" si="10"/>
        <v>100</v>
      </c>
    </row>
    <row r="434" spans="1:8" ht="45.75" customHeight="1">
      <c r="A434" s="83" t="s">
        <v>758</v>
      </c>
      <c r="B434" s="83" t="s">
        <v>737</v>
      </c>
      <c r="C434" s="83" t="s">
        <v>757</v>
      </c>
      <c r="D434" s="95" t="s">
        <v>1222</v>
      </c>
      <c r="E434" s="99" t="s">
        <v>1223</v>
      </c>
      <c r="F434" s="91">
        <v>212999.64</v>
      </c>
      <c r="G434" s="92">
        <v>212999.64</v>
      </c>
      <c r="H434" s="93">
        <f t="shared" si="10"/>
        <v>100</v>
      </c>
    </row>
    <row r="435" spans="1:8" ht="21" customHeight="1">
      <c r="A435" s="83" t="s">
        <v>759</v>
      </c>
      <c r="B435" s="84" t="s">
        <v>760</v>
      </c>
      <c r="C435" s="84"/>
      <c r="D435" s="85"/>
      <c r="E435" s="89" t="s">
        <v>761</v>
      </c>
      <c r="F435" s="87">
        <f>F436+F456</f>
        <v>27867790</v>
      </c>
      <c r="G435" s="101">
        <f>G436+G456</f>
        <v>13701655.35</v>
      </c>
      <c r="H435" s="88">
        <f t="shared" si="10"/>
        <v>49.1666377204651</v>
      </c>
    </row>
    <row r="436" spans="1:8" ht="23.25" customHeight="1">
      <c r="A436" s="83" t="s">
        <v>762</v>
      </c>
      <c r="B436" s="84" t="s">
        <v>763</v>
      </c>
      <c r="C436" s="84"/>
      <c r="D436" s="85"/>
      <c r="E436" s="89" t="s">
        <v>764</v>
      </c>
      <c r="F436" s="87">
        <f>F437+F446</f>
        <v>25308843</v>
      </c>
      <c r="G436" s="101">
        <f>G437+G446</f>
        <v>13037888.84</v>
      </c>
      <c r="H436" s="88">
        <f t="shared" si="10"/>
        <v>51.51515160135926</v>
      </c>
    </row>
    <row r="437" spans="1:8" ht="62.25" customHeight="1">
      <c r="A437" s="83" t="s">
        <v>765</v>
      </c>
      <c r="B437" s="83" t="s">
        <v>763</v>
      </c>
      <c r="C437" s="83" t="s">
        <v>766</v>
      </c>
      <c r="D437" s="95"/>
      <c r="E437" s="67" t="s">
        <v>767</v>
      </c>
      <c r="F437" s="91">
        <f>F438+F441</f>
        <v>668000</v>
      </c>
      <c r="G437" s="92">
        <f>G438+G441</f>
        <v>0</v>
      </c>
      <c r="H437" s="93">
        <f t="shared" si="10"/>
        <v>0</v>
      </c>
    </row>
    <row r="438" spans="1:8" ht="49.5" customHeight="1">
      <c r="A438" s="83" t="s">
        <v>768</v>
      </c>
      <c r="B438" s="83" t="s">
        <v>763</v>
      </c>
      <c r="C438" s="83" t="s">
        <v>769</v>
      </c>
      <c r="D438" s="95"/>
      <c r="E438" s="99" t="s">
        <v>770</v>
      </c>
      <c r="F438" s="96">
        <f>F439</f>
        <v>488000</v>
      </c>
      <c r="G438" s="98">
        <f>G439</f>
        <v>0</v>
      </c>
      <c r="H438" s="93">
        <f t="shared" si="10"/>
        <v>0</v>
      </c>
    </row>
    <row r="439" spans="1:8" ht="36" customHeight="1">
      <c r="A439" s="83" t="s">
        <v>771</v>
      </c>
      <c r="B439" s="83" t="s">
        <v>763</v>
      </c>
      <c r="C439" s="83" t="s">
        <v>772</v>
      </c>
      <c r="D439" s="95"/>
      <c r="E439" s="127" t="s">
        <v>773</v>
      </c>
      <c r="F439" s="96">
        <f>F440</f>
        <v>488000</v>
      </c>
      <c r="G439" s="98">
        <f>G440</f>
        <v>0</v>
      </c>
      <c r="H439" s="93">
        <f t="shared" si="10"/>
        <v>0</v>
      </c>
    </row>
    <row r="440" spans="1:8" ht="48.75" customHeight="1">
      <c r="A440" s="83" t="s">
        <v>774</v>
      </c>
      <c r="B440" s="83" t="s">
        <v>763</v>
      </c>
      <c r="C440" s="83" t="s">
        <v>772</v>
      </c>
      <c r="D440" s="95" t="s">
        <v>1228</v>
      </c>
      <c r="E440" s="99" t="s">
        <v>775</v>
      </c>
      <c r="F440" s="96">
        <v>488000</v>
      </c>
      <c r="G440" s="98">
        <v>0</v>
      </c>
      <c r="H440" s="93">
        <f t="shared" si="10"/>
        <v>0</v>
      </c>
    </row>
    <row r="441" spans="1:8" ht="81" customHeight="1">
      <c r="A441" s="83" t="s">
        <v>776</v>
      </c>
      <c r="B441" s="83" t="s">
        <v>763</v>
      </c>
      <c r="C441" s="83" t="s">
        <v>777</v>
      </c>
      <c r="D441" s="95"/>
      <c r="E441" s="67" t="s">
        <v>778</v>
      </c>
      <c r="F441" s="96">
        <f>F442+F444</f>
        <v>180000</v>
      </c>
      <c r="G441" s="98">
        <f>G442+G444</f>
        <v>0</v>
      </c>
      <c r="H441" s="93">
        <f t="shared" si="10"/>
        <v>0</v>
      </c>
    </row>
    <row r="442" spans="1:8" ht="51" customHeight="1">
      <c r="A442" s="83" t="s">
        <v>779</v>
      </c>
      <c r="B442" s="83" t="s">
        <v>763</v>
      </c>
      <c r="C442" s="83" t="s">
        <v>780</v>
      </c>
      <c r="D442" s="95"/>
      <c r="E442" s="127" t="s">
        <v>781</v>
      </c>
      <c r="F442" s="96">
        <f>F443</f>
        <v>160000</v>
      </c>
      <c r="G442" s="98">
        <f>G443</f>
        <v>0</v>
      </c>
      <c r="H442" s="93">
        <f t="shared" si="10"/>
        <v>0</v>
      </c>
    </row>
    <row r="443" spans="1:8" ht="33.75" customHeight="1">
      <c r="A443" s="83" t="s">
        <v>782</v>
      </c>
      <c r="B443" s="83" t="s">
        <v>763</v>
      </c>
      <c r="C443" s="83" t="s">
        <v>780</v>
      </c>
      <c r="D443" s="95" t="s">
        <v>546</v>
      </c>
      <c r="E443" s="99" t="s">
        <v>783</v>
      </c>
      <c r="F443" s="96">
        <v>160000</v>
      </c>
      <c r="G443" s="98">
        <v>0</v>
      </c>
      <c r="H443" s="93">
        <f t="shared" si="10"/>
        <v>0</v>
      </c>
    </row>
    <row r="444" spans="1:8" ht="48" customHeight="1">
      <c r="A444" s="83" t="s">
        <v>784</v>
      </c>
      <c r="B444" s="83" t="s">
        <v>763</v>
      </c>
      <c r="C444" s="83" t="s">
        <v>785</v>
      </c>
      <c r="D444" s="95"/>
      <c r="E444" s="99" t="s">
        <v>786</v>
      </c>
      <c r="F444" s="96">
        <f>F445</f>
        <v>20000</v>
      </c>
      <c r="G444" s="98">
        <f>G445</f>
        <v>0</v>
      </c>
      <c r="H444" s="93">
        <f t="shared" si="10"/>
        <v>0</v>
      </c>
    </row>
    <row r="445" spans="1:8" ht="33" customHeight="1">
      <c r="A445" s="83" t="s">
        <v>787</v>
      </c>
      <c r="B445" s="83" t="s">
        <v>763</v>
      </c>
      <c r="C445" s="83" t="s">
        <v>785</v>
      </c>
      <c r="D445" s="95" t="s">
        <v>546</v>
      </c>
      <c r="E445" s="99" t="s">
        <v>788</v>
      </c>
      <c r="F445" s="96">
        <v>20000</v>
      </c>
      <c r="G445" s="98">
        <v>0</v>
      </c>
      <c r="H445" s="93">
        <f t="shared" si="10"/>
        <v>0</v>
      </c>
    </row>
    <row r="446" spans="1:8" ht="21.75" customHeight="1">
      <c r="A446" s="83" t="s">
        <v>789</v>
      </c>
      <c r="B446" s="83" t="s">
        <v>763</v>
      </c>
      <c r="C446" s="83" t="s">
        <v>1212</v>
      </c>
      <c r="D446" s="85"/>
      <c r="E446" s="67" t="s">
        <v>1213</v>
      </c>
      <c r="F446" s="91">
        <f>F447+F450+F453</f>
        <v>24640843</v>
      </c>
      <c r="G446" s="92">
        <f>G447+G450+G453</f>
        <v>13037888.84</v>
      </c>
      <c r="H446" s="93">
        <f t="shared" si="10"/>
        <v>52.91169965248348</v>
      </c>
    </row>
    <row r="447" spans="1:8" ht="176.25" customHeight="1">
      <c r="A447" s="83" t="s">
        <v>790</v>
      </c>
      <c r="B447" s="83" t="s">
        <v>763</v>
      </c>
      <c r="C447" s="83" t="s">
        <v>791</v>
      </c>
      <c r="D447" s="95"/>
      <c r="E447" s="67" t="s">
        <v>792</v>
      </c>
      <c r="F447" s="91">
        <f>SUM(F448:F449)</f>
        <v>1638893</v>
      </c>
      <c r="G447" s="92">
        <f>SUM(G448:G449)</f>
        <v>479361.8</v>
      </c>
      <c r="H447" s="93">
        <f t="shared" si="10"/>
        <v>29.249121205594264</v>
      </c>
    </row>
    <row r="448" spans="1:8" ht="48" customHeight="1">
      <c r="A448" s="83" t="s">
        <v>793</v>
      </c>
      <c r="B448" s="83" t="s">
        <v>763</v>
      </c>
      <c r="C448" s="83" t="s">
        <v>791</v>
      </c>
      <c r="D448" s="95" t="s">
        <v>1222</v>
      </c>
      <c r="E448" s="99" t="s">
        <v>1223</v>
      </c>
      <c r="F448" s="91">
        <v>18953</v>
      </c>
      <c r="G448" s="92">
        <v>5568.82</v>
      </c>
      <c r="H448" s="93">
        <f t="shared" si="10"/>
        <v>29.382261383422147</v>
      </c>
    </row>
    <row r="449" spans="1:8" ht="48" customHeight="1">
      <c r="A449" s="83" t="s">
        <v>794</v>
      </c>
      <c r="B449" s="83" t="s">
        <v>763</v>
      </c>
      <c r="C449" s="83" t="s">
        <v>791</v>
      </c>
      <c r="D449" s="95" t="s">
        <v>1228</v>
      </c>
      <c r="E449" s="99" t="s">
        <v>775</v>
      </c>
      <c r="F449" s="91">
        <v>1619940</v>
      </c>
      <c r="G449" s="92">
        <v>473792.98</v>
      </c>
      <c r="H449" s="93">
        <f t="shared" si="10"/>
        <v>29.247563490005803</v>
      </c>
    </row>
    <row r="450" spans="1:8" ht="210" customHeight="1">
      <c r="A450" s="83" t="s">
        <v>795</v>
      </c>
      <c r="B450" s="83" t="s">
        <v>763</v>
      </c>
      <c r="C450" s="83" t="s">
        <v>796</v>
      </c>
      <c r="D450" s="95"/>
      <c r="E450" s="146" t="s">
        <v>797</v>
      </c>
      <c r="F450" s="91">
        <f>SUM(F451:F452)</f>
        <v>15534950</v>
      </c>
      <c r="G450" s="92">
        <f>SUM(G451:G452)</f>
        <v>8634749.1</v>
      </c>
      <c r="H450" s="93">
        <f t="shared" si="10"/>
        <v>55.58272862159196</v>
      </c>
    </row>
    <row r="451" spans="1:8" ht="48.75" customHeight="1">
      <c r="A451" s="83" t="s">
        <v>798</v>
      </c>
      <c r="B451" s="83" t="s">
        <v>763</v>
      </c>
      <c r="C451" s="83" t="s">
        <v>796</v>
      </c>
      <c r="D451" s="95" t="s">
        <v>1222</v>
      </c>
      <c r="E451" s="99" t="s">
        <v>1223</v>
      </c>
      <c r="F451" s="91">
        <v>208168</v>
      </c>
      <c r="G451" s="92">
        <v>99925.03</v>
      </c>
      <c r="H451" s="93">
        <f t="shared" si="10"/>
        <v>48.00210887360209</v>
      </c>
    </row>
    <row r="452" spans="1:8" ht="51" customHeight="1">
      <c r="A452" s="83" t="s">
        <v>799</v>
      </c>
      <c r="B452" s="83" t="s">
        <v>763</v>
      </c>
      <c r="C452" s="83" t="s">
        <v>796</v>
      </c>
      <c r="D452" s="95" t="s">
        <v>1228</v>
      </c>
      <c r="E452" s="99" t="s">
        <v>775</v>
      </c>
      <c r="F452" s="91">
        <v>15326782</v>
      </c>
      <c r="G452" s="92">
        <v>8534824.07</v>
      </c>
      <c r="H452" s="93">
        <f t="shared" si="10"/>
        <v>55.68568842435418</v>
      </c>
    </row>
    <row r="453" spans="1:8" ht="190.5" customHeight="1">
      <c r="A453" s="83" t="s">
        <v>800</v>
      </c>
      <c r="B453" s="83" t="s">
        <v>763</v>
      </c>
      <c r="C453" s="147" t="s">
        <v>801</v>
      </c>
      <c r="D453" s="85"/>
      <c r="E453" s="148" t="s">
        <v>802</v>
      </c>
      <c r="F453" s="91">
        <f>SUM(F454:F455)</f>
        <v>7467000</v>
      </c>
      <c r="G453" s="92">
        <f>SUM(G454:G455)</f>
        <v>3923777.94</v>
      </c>
      <c r="H453" s="93">
        <f t="shared" si="10"/>
        <v>52.548251506629164</v>
      </c>
    </row>
    <row r="454" spans="1:8" ht="46.5" customHeight="1">
      <c r="A454" s="83" t="s">
        <v>803</v>
      </c>
      <c r="B454" s="83" t="s">
        <v>763</v>
      </c>
      <c r="C454" s="147" t="s">
        <v>801</v>
      </c>
      <c r="D454" s="95" t="s">
        <v>1222</v>
      </c>
      <c r="E454" s="99" t="s">
        <v>1223</v>
      </c>
      <c r="F454" s="91">
        <v>100058</v>
      </c>
      <c r="G454" s="92">
        <v>44637.83</v>
      </c>
      <c r="H454" s="93">
        <f t="shared" si="10"/>
        <v>44.61195506606169</v>
      </c>
    </row>
    <row r="455" spans="1:8" ht="38.25" customHeight="1">
      <c r="A455" s="83" t="s">
        <v>804</v>
      </c>
      <c r="B455" s="83" t="s">
        <v>763</v>
      </c>
      <c r="C455" s="147" t="s">
        <v>801</v>
      </c>
      <c r="D455" s="95" t="s">
        <v>1228</v>
      </c>
      <c r="E455" s="99" t="s">
        <v>0</v>
      </c>
      <c r="F455" s="91">
        <v>7366942</v>
      </c>
      <c r="G455" s="92">
        <v>3879140.11</v>
      </c>
      <c r="H455" s="93">
        <f aca="true" t="shared" si="11" ref="H455:H508">G455/F455*100</f>
        <v>52.656042493615395</v>
      </c>
    </row>
    <row r="456" spans="1:8" ht="30" customHeight="1">
      <c r="A456" s="83" t="s">
        <v>805</v>
      </c>
      <c r="B456" s="84" t="s">
        <v>806</v>
      </c>
      <c r="C456" s="84"/>
      <c r="D456" s="85"/>
      <c r="E456" s="89" t="s">
        <v>807</v>
      </c>
      <c r="F456" s="87">
        <f>F457+F472</f>
        <v>2558947</v>
      </c>
      <c r="G456" s="87">
        <f>G457+G472</f>
        <v>663766.51</v>
      </c>
      <c r="H456" s="88">
        <f t="shared" si="11"/>
        <v>25.939048757164567</v>
      </c>
    </row>
    <row r="457" spans="1:10" ht="65.25" customHeight="1">
      <c r="A457" s="83" t="s">
        <v>808</v>
      </c>
      <c r="B457" s="83" t="s">
        <v>806</v>
      </c>
      <c r="C457" s="83" t="s">
        <v>766</v>
      </c>
      <c r="D457" s="95"/>
      <c r="E457" s="67" t="s">
        <v>767</v>
      </c>
      <c r="F457" s="91">
        <f>F458</f>
        <v>415790</v>
      </c>
      <c r="G457" s="92">
        <f>G458</f>
        <v>188140</v>
      </c>
      <c r="H457" s="93">
        <f t="shared" si="11"/>
        <v>45.24880348252724</v>
      </c>
      <c r="I457" s="128"/>
      <c r="J457" s="128"/>
    </row>
    <row r="458" spans="1:8" ht="81.75" customHeight="1">
      <c r="A458" s="83" t="s">
        <v>809</v>
      </c>
      <c r="B458" s="83" t="s">
        <v>806</v>
      </c>
      <c r="C458" s="83" t="s">
        <v>777</v>
      </c>
      <c r="D458" s="95"/>
      <c r="E458" s="67" t="s">
        <v>778</v>
      </c>
      <c r="F458" s="96">
        <f>F459+F461+F463+F465+F467+F471</f>
        <v>415790</v>
      </c>
      <c r="G458" s="98">
        <f>G459+G461+G463+G465+G467+G471</f>
        <v>188140</v>
      </c>
      <c r="H458" s="93">
        <f t="shared" si="11"/>
        <v>45.24880348252724</v>
      </c>
    </row>
    <row r="459" spans="1:8" ht="36" customHeight="1">
      <c r="A459" s="83" t="s">
        <v>810</v>
      </c>
      <c r="B459" s="83" t="s">
        <v>806</v>
      </c>
      <c r="C459" s="83" t="s">
        <v>811</v>
      </c>
      <c r="D459" s="95"/>
      <c r="E459" s="99" t="s">
        <v>812</v>
      </c>
      <c r="F459" s="96">
        <f>F460</f>
        <v>12075</v>
      </c>
      <c r="G459" s="98">
        <f>G460</f>
        <v>0</v>
      </c>
      <c r="H459" s="93">
        <f t="shared" si="11"/>
        <v>0</v>
      </c>
    </row>
    <row r="460" spans="1:8" ht="51" customHeight="1">
      <c r="A460" s="83" t="s">
        <v>813</v>
      </c>
      <c r="B460" s="83" t="s">
        <v>806</v>
      </c>
      <c r="C460" s="83" t="s">
        <v>811</v>
      </c>
      <c r="D460" s="95" t="s">
        <v>1222</v>
      </c>
      <c r="E460" s="119" t="s">
        <v>1223</v>
      </c>
      <c r="F460" s="96">
        <v>12075</v>
      </c>
      <c r="G460" s="98">
        <v>0</v>
      </c>
      <c r="H460" s="93">
        <f t="shared" si="11"/>
        <v>0</v>
      </c>
    </row>
    <row r="461" spans="1:8" ht="40.5" customHeight="1">
      <c r="A461" s="83" t="s">
        <v>814</v>
      </c>
      <c r="B461" s="83" t="s">
        <v>806</v>
      </c>
      <c r="C461" s="83" t="s">
        <v>815</v>
      </c>
      <c r="D461" s="95"/>
      <c r="E461" s="119" t="s">
        <v>816</v>
      </c>
      <c r="F461" s="96">
        <f>F462</f>
        <v>5250</v>
      </c>
      <c r="G461" s="98">
        <f>G462</f>
        <v>1000</v>
      </c>
      <c r="H461" s="93">
        <f t="shared" si="11"/>
        <v>19.047619047619047</v>
      </c>
    </row>
    <row r="462" spans="1:8" ht="48" customHeight="1">
      <c r="A462" s="83" t="s">
        <v>817</v>
      </c>
      <c r="B462" s="83" t="s">
        <v>806</v>
      </c>
      <c r="C462" s="83" t="s">
        <v>815</v>
      </c>
      <c r="D462" s="95" t="s">
        <v>1222</v>
      </c>
      <c r="E462" s="99" t="s">
        <v>1223</v>
      </c>
      <c r="F462" s="96">
        <v>5250</v>
      </c>
      <c r="G462" s="98">
        <v>1000</v>
      </c>
      <c r="H462" s="93">
        <f t="shared" si="11"/>
        <v>19.047619047619047</v>
      </c>
    </row>
    <row r="463" spans="1:8" ht="30.75" customHeight="1">
      <c r="A463" s="83" t="s">
        <v>818</v>
      </c>
      <c r="B463" s="83" t="s">
        <v>806</v>
      </c>
      <c r="C463" s="83" t="s">
        <v>819</v>
      </c>
      <c r="D463" s="95"/>
      <c r="E463" s="99" t="s">
        <v>820</v>
      </c>
      <c r="F463" s="96">
        <f>F464</f>
        <v>140500</v>
      </c>
      <c r="G463" s="98">
        <f>G464</f>
        <v>44646</v>
      </c>
      <c r="H463" s="93">
        <f t="shared" si="11"/>
        <v>31.776512455516016</v>
      </c>
    </row>
    <row r="464" spans="1:8" ht="48.75" customHeight="1">
      <c r="A464" s="83" t="s">
        <v>821</v>
      </c>
      <c r="B464" s="83" t="s">
        <v>806</v>
      </c>
      <c r="C464" s="83" t="s">
        <v>819</v>
      </c>
      <c r="D464" s="95" t="s">
        <v>1222</v>
      </c>
      <c r="E464" s="99" t="s">
        <v>1223</v>
      </c>
      <c r="F464" s="96">
        <v>140500</v>
      </c>
      <c r="G464" s="98">
        <v>44646</v>
      </c>
      <c r="H464" s="93">
        <f t="shared" si="11"/>
        <v>31.776512455516016</v>
      </c>
    </row>
    <row r="465" spans="1:8" ht="30.75" customHeight="1">
      <c r="A465" s="83" t="s">
        <v>822</v>
      </c>
      <c r="B465" s="83" t="s">
        <v>806</v>
      </c>
      <c r="C465" s="83" t="s">
        <v>823</v>
      </c>
      <c r="D465" s="95"/>
      <c r="E465" s="99" t="s">
        <v>824</v>
      </c>
      <c r="F465" s="96">
        <f>F466</f>
        <v>32027</v>
      </c>
      <c r="G465" s="98">
        <f>G466</f>
        <v>0</v>
      </c>
      <c r="H465" s="93">
        <f t="shared" si="11"/>
        <v>0</v>
      </c>
    </row>
    <row r="466" spans="1:8" ht="49.5" customHeight="1">
      <c r="A466" s="83" t="s">
        <v>825</v>
      </c>
      <c r="B466" s="83" t="s">
        <v>806</v>
      </c>
      <c r="C466" s="83" t="s">
        <v>823</v>
      </c>
      <c r="D466" s="95" t="s">
        <v>1222</v>
      </c>
      <c r="E466" s="99" t="s">
        <v>1223</v>
      </c>
      <c r="F466" s="96">
        <v>32027</v>
      </c>
      <c r="G466" s="98">
        <v>0</v>
      </c>
      <c r="H466" s="93">
        <f t="shared" si="11"/>
        <v>0</v>
      </c>
    </row>
    <row r="467" spans="1:8" ht="19.5" customHeight="1">
      <c r="A467" s="83" t="s">
        <v>826</v>
      </c>
      <c r="B467" s="83" t="s">
        <v>806</v>
      </c>
      <c r="C467" s="83" t="s">
        <v>827</v>
      </c>
      <c r="D467" s="95"/>
      <c r="E467" s="99" t="s">
        <v>828</v>
      </c>
      <c r="F467" s="96">
        <f>SUM(F468:F469)</f>
        <v>75000</v>
      </c>
      <c r="G467" s="96">
        <f>SUM(G468:G469)</f>
        <v>66534</v>
      </c>
      <c r="H467" s="93">
        <f t="shared" si="11"/>
        <v>88.712</v>
      </c>
    </row>
    <row r="468" spans="1:8" ht="45" customHeight="1">
      <c r="A468" s="83" t="s">
        <v>829</v>
      </c>
      <c r="B468" s="83" t="s">
        <v>806</v>
      </c>
      <c r="C468" s="83" t="s">
        <v>827</v>
      </c>
      <c r="D468" s="95" t="s">
        <v>1222</v>
      </c>
      <c r="E468" s="99" t="s">
        <v>1223</v>
      </c>
      <c r="F468" s="96">
        <v>1818</v>
      </c>
      <c r="G468" s="98">
        <v>1534</v>
      </c>
      <c r="H468" s="93">
        <f t="shared" si="11"/>
        <v>84.37843784378438</v>
      </c>
    </row>
    <row r="469" spans="1:8" ht="34.5" customHeight="1">
      <c r="A469" s="83" t="s">
        <v>830</v>
      </c>
      <c r="B469" s="83" t="s">
        <v>806</v>
      </c>
      <c r="C469" s="83" t="s">
        <v>827</v>
      </c>
      <c r="D469" s="95" t="s">
        <v>1228</v>
      </c>
      <c r="E469" s="99" t="s">
        <v>0</v>
      </c>
      <c r="F469" s="96">
        <v>73182</v>
      </c>
      <c r="G469" s="98">
        <v>65000</v>
      </c>
      <c r="H469" s="93">
        <f t="shared" si="11"/>
        <v>88.81965510644693</v>
      </c>
    </row>
    <row r="470" spans="1:8" ht="67.5" customHeight="1">
      <c r="A470" s="83" t="s">
        <v>831</v>
      </c>
      <c r="B470" s="83" t="s">
        <v>806</v>
      </c>
      <c r="C470" s="83" t="s">
        <v>832</v>
      </c>
      <c r="D470" s="95"/>
      <c r="E470" s="99" t="s">
        <v>833</v>
      </c>
      <c r="F470" s="96">
        <f>F471</f>
        <v>150938</v>
      </c>
      <c r="G470" s="98">
        <f>G471</f>
        <v>75960</v>
      </c>
      <c r="H470" s="93">
        <f t="shared" si="11"/>
        <v>50.32529912944388</v>
      </c>
    </row>
    <row r="471" spans="1:8" ht="42" customHeight="1">
      <c r="A471" s="83" t="s">
        <v>834</v>
      </c>
      <c r="B471" s="83" t="s">
        <v>806</v>
      </c>
      <c r="C471" s="83" t="s">
        <v>832</v>
      </c>
      <c r="D471" s="95" t="s">
        <v>1228</v>
      </c>
      <c r="E471" s="99" t="s">
        <v>0</v>
      </c>
      <c r="F471" s="96">
        <v>150938</v>
      </c>
      <c r="G471" s="98">
        <v>75960</v>
      </c>
      <c r="H471" s="93">
        <f t="shared" si="11"/>
        <v>50.32529912944388</v>
      </c>
    </row>
    <row r="472" spans="1:8" ht="20.25" customHeight="1">
      <c r="A472" s="83" t="s">
        <v>835</v>
      </c>
      <c r="B472" s="83" t="s">
        <v>806</v>
      </c>
      <c r="C472" s="83" t="s">
        <v>1212</v>
      </c>
      <c r="D472" s="85"/>
      <c r="E472" s="67" t="s">
        <v>1213</v>
      </c>
      <c r="F472" s="91">
        <f>F473+F476</f>
        <v>2143157</v>
      </c>
      <c r="G472" s="92">
        <f>G473+G476</f>
        <v>475626.51</v>
      </c>
      <c r="H472" s="93">
        <f t="shared" si="11"/>
        <v>22.1927982877596</v>
      </c>
    </row>
    <row r="473" spans="1:8" ht="180.75" customHeight="1">
      <c r="A473" s="83" t="s">
        <v>836</v>
      </c>
      <c r="B473" s="83" t="s">
        <v>806</v>
      </c>
      <c r="C473" s="83" t="s">
        <v>791</v>
      </c>
      <c r="D473" s="95"/>
      <c r="E473" s="67" t="s">
        <v>792</v>
      </c>
      <c r="F473" s="91">
        <f>SUM(F474:F475)</f>
        <v>223107</v>
      </c>
      <c r="G473" s="92">
        <f>SUM(G474:G475)</f>
        <v>99992.08</v>
      </c>
      <c r="H473" s="93">
        <f t="shared" si="11"/>
        <v>44.81799316023253</v>
      </c>
    </row>
    <row r="474" spans="1:8" ht="36.75" customHeight="1">
      <c r="A474" s="83" t="s">
        <v>837</v>
      </c>
      <c r="B474" s="83" t="s">
        <v>806</v>
      </c>
      <c r="C474" s="83" t="s">
        <v>791</v>
      </c>
      <c r="D474" s="95" t="s">
        <v>1216</v>
      </c>
      <c r="E474" s="67" t="s">
        <v>1217</v>
      </c>
      <c r="F474" s="91">
        <v>167025</v>
      </c>
      <c r="G474" s="92">
        <v>67832.82</v>
      </c>
      <c r="H474" s="93">
        <f t="shared" si="11"/>
        <v>40.61237539290526</v>
      </c>
    </row>
    <row r="475" spans="1:8" ht="51.75" customHeight="1">
      <c r="A475" s="83" t="s">
        <v>838</v>
      </c>
      <c r="B475" s="83" t="s">
        <v>806</v>
      </c>
      <c r="C475" s="83" t="s">
        <v>791</v>
      </c>
      <c r="D475" s="95" t="s">
        <v>1222</v>
      </c>
      <c r="E475" s="99" t="s">
        <v>1223</v>
      </c>
      <c r="F475" s="91">
        <v>56082</v>
      </c>
      <c r="G475" s="92">
        <v>32159.26</v>
      </c>
      <c r="H475" s="93">
        <f t="shared" si="11"/>
        <v>57.3432830498199</v>
      </c>
    </row>
    <row r="476" spans="1:8" ht="208.5" customHeight="1">
      <c r="A476" s="83" t="s">
        <v>839</v>
      </c>
      <c r="B476" s="83" t="s">
        <v>806</v>
      </c>
      <c r="C476" s="83" t="s">
        <v>796</v>
      </c>
      <c r="D476" s="95"/>
      <c r="E476" s="146" t="s">
        <v>797</v>
      </c>
      <c r="F476" s="91">
        <f>SUM(F477:F478)</f>
        <v>1920050</v>
      </c>
      <c r="G476" s="92">
        <f>SUM(G477:G478)</f>
        <v>375634.43</v>
      </c>
      <c r="H476" s="93">
        <f t="shared" si="11"/>
        <v>19.563783755631363</v>
      </c>
    </row>
    <row r="477" spans="1:8" ht="33" customHeight="1">
      <c r="A477" s="83" t="s">
        <v>840</v>
      </c>
      <c r="B477" s="83" t="s">
        <v>806</v>
      </c>
      <c r="C477" s="83" t="s">
        <v>796</v>
      </c>
      <c r="D477" s="95" t="s">
        <v>1216</v>
      </c>
      <c r="E477" s="67" t="s">
        <v>1217</v>
      </c>
      <c r="F477" s="91">
        <v>381892</v>
      </c>
      <c r="G477" s="92">
        <v>197273.59</v>
      </c>
      <c r="H477" s="93">
        <f t="shared" si="11"/>
        <v>51.656905617294946</v>
      </c>
    </row>
    <row r="478" spans="1:8" ht="49.5" customHeight="1">
      <c r="A478" s="83" t="s">
        <v>841</v>
      </c>
      <c r="B478" s="83" t="s">
        <v>806</v>
      </c>
      <c r="C478" s="83" t="s">
        <v>796</v>
      </c>
      <c r="D478" s="95" t="s">
        <v>1222</v>
      </c>
      <c r="E478" s="99" t="s">
        <v>1223</v>
      </c>
      <c r="F478" s="91">
        <v>1538158</v>
      </c>
      <c r="G478" s="92">
        <v>178360.84</v>
      </c>
      <c r="H478" s="93">
        <f t="shared" si="11"/>
        <v>11.59574243998341</v>
      </c>
    </row>
    <row r="479" spans="1:8" ht="18.75" customHeight="1">
      <c r="A479" s="83" t="s">
        <v>842</v>
      </c>
      <c r="B479" s="84" t="s">
        <v>843</v>
      </c>
      <c r="C479" s="83"/>
      <c r="D479" s="95"/>
      <c r="E479" s="89" t="s">
        <v>844</v>
      </c>
      <c r="F479" s="87">
        <f>F480+F490</f>
        <v>10709581.809999999</v>
      </c>
      <c r="G479" s="87">
        <f>G480+G490</f>
        <v>5118441.140000001</v>
      </c>
      <c r="H479" s="88">
        <f t="shared" si="11"/>
        <v>47.793099962322444</v>
      </c>
    </row>
    <row r="480" spans="1:8" ht="19.5" customHeight="1">
      <c r="A480" s="83" t="s">
        <v>845</v>
      </c>
      <c r="B480" s="84" t="s">
        <v>846</v>
      </c>
      <c r="C480" s="84"/>
      <c r="D480" s="85"/>
      <c r="E480" s="89" t="s">
        <v>847</v>
      </c>
      <c r="F480" s="87">
        <f>F481+F487</f>
        <v>9481581.809999999</v>
      </c>
      <c r="G480" s="87">
        <f>G481+G487</f>
        <v>4484055.8100000005</v>
      </c>
      <c r="H480" s="88">
        <f t="shared" si="11"/>
        <v>47.29227569677006</v>
      </c>
    </row>
    <row r="481" spans="1:8" ht="48" customHeight="1">
      <c r="A481" s="83" t="s">
        <v>848</v>
      </c>
      <c r="B481" s="83" t="s">
        <v>846</v>
      </c>
      <c r="C481" s="83" t="s">
        <v>613</v>
      </c>
      <c r="D481" s="85"/>
      <c r="E481" s="67" t="s">
        <v>614</v>
      </c>
      <c r="F481" s="91">
        <f>F482</f>
        <v>7726946.81</v>
      </c>
      <c r="G481" s="92">
        <f>G482</f>
        <v>3661420.81</v>
      </c>
      <c r="H481" s="93">
        <f t="shared" si="11"/>
        <v>47.385091421381226</v>
      </c>
    </row>
    <row r="482" spans="1:8" ht="33.75" customHeight="1">
      <c r="A482" s="83" t="s">
        <v>849</v>
      </c>
      <c r="B482" s="83" t="s">
        <v>846</v>
      </c>
      <c r="C482" s="83" t="s">
        <v>850</v>
      </c>
      <c r="D482" s="85"/>
      <c r="E482" s="67" t="s">
        <v>851</v>
      </c>
      <c r="F482" s="91">
        <f>F483+F485</f>
        <v>7726946.81</v>
      </c>
      <c r="G482" s="91">
        <f>G483+G485</f>
        <v>3661420.81</v>
      </c>
      <c r="H482" s="93">
        <f t="shared" si="11"/>
        <v>47.385091421381226</v>
      </c>
    </row>
    <row r="483" spans="1:8" ht="36.75" customHeight="1">
      <c r="A483" s="83" t="s">
        <v>852</v>
      </c>
      <c r="B483" s="83" t="s">
        <v>846</v>
      </c>
      <c r="C483" s="83" t="s">
        <v>853</v>
      </c>
      <c r="D483" s="95"/>
      <c r="E483" s="67" t="s">
        <v>854</v>
      </c>
      <c r="F483" s="96">
        <f>F484</f>
        <v>7672550</v>
      </c>
      <c r="G483" s="98">
        <f>G484</f>
        <v>3607024</v>
      </c>
      <c r="H483" s="93">
        <f t="shared" si="11"/>
        <v>47.012062482486265</v>
      </c>
    </row>
    <row r="484" spans="1:8" ht="23.25" customHeight="1">
      <c r="A484" s="83" t="s">
        <v>855</v>
      </c>
      <c r="B484" s="83" t="s">
        <v>846</v>
      </c>
      <c r="C484" s="83" t="s">
        <v>853</v>
      </c>
      <c r="D484" s="95" t="s">
        <v>62</v>
      </c>
      <c r="E484" s="67" t="s">
        <v>63</v>
      </c>
      <c r="F484" s="96">
        <v>7672550</v>
      </c>
      <c r="G484" s="98">
        <v>3607024</v>
      </c>
      <c r="H484" s="93">
        <f t="shared" si="11"/>
        <v>47.012062482486265</v>
      </c>
    </row>
    <row r="485" spans="1:8" ht="32.25" customHeight="1">
      <c r="A485" s="83" t="s">
        <v>856</v>
      </c>
      <c r="B485" s="83" t="s">
        <v>846</v>
      </c>
      <c r="C485" s="83" t="s">
        <v>857</v>
      </c>
      <c r="D485" s="95"/>
      <c r="E485" s="67" t="s">
        <v>1225</v>
      </c>
      <c r="F485" s="96">
        <f>F486</f>
        <v>54396.81</v>
      </c>
      <c r="G485" s="98">
        <f>G486</f>
        <v>54396.81</v>
      </c>
      <c r="H485" s="93">
        <f t="shared" si="11"/>
        <v>100</v>
      </c>
    </row>
    <row r="486" spans="1:8" ht="21" customHeight="1">
      <c r="A486" s="83" t="s">
        <v>858</v>
      </c>
      <c r="B486" s="83" t="s">
        <v>846</v>
      </c>
      <c r="C486" s="83" t="s">
        <v>857</v>
      </c>
      <c r="D486" s="95" t="s">
        <v>62</v>
      </c>
      <c r="E486" s="67" t="s">
        <v>63</v>
      </c>
      <c r="F486" s="96">
        <v>54396.81</v>
      </c>
      <c r="G486" s="96">
        <v>54396.81</v>
      </c>
      <c r="H486" s="93">
        <f t="shared" si="11"/>
        <v>100</v>
      </c>
    </row>
    <row r="487" spans="1:8" ht="23.25" customHeight="1">
      <c r="A487" s="83" t="s">
        <v>859</v>
      </c>
      <c r="B487" s="83" t="s">
        <v>846</v>
      </c>
      <c r="C487" s="83" t="s">
        <v>1212</v>
      </c>
      <c r="D487" s="95"/>
      <c r="E487" s="67" t="s">
        <v>1213</v>
      </c>
      <c r="F487" s="91">
        <f>F488</f>
        <v>1754635</v>
      </c>
      <c r="G487" s="92">
        <f>G488</f>
        <v>822635</v>
      </c>
      <c r="H487" s="93">
        <f t="shared" si="11"/>
        <v>46.88353988151382</v>
      </c>
    </row>
    <row r="488" spans="1:8" ht="31.5" customHeight="1">
      <c r="A488" s="83" t="s">
        <v>860</v>
      </c>
      <c r="B488" s="83" t="s">
        <v>846</v>
      </c>
      <c r="C488" s="83" t="s">
        <v>1224</v>
      </c>
      <c r="D488" s="95"/>
      <c r="E488" s="67" t="s">
        <v>1225</v>
      </c>
      <c r="F488" s="91">
        <f>F489</f>
        <v>1754635</v>
      </c>
      <c r="G488" s="92">
        <f>G489</f>
        <v>822635</v>
      </c>
      <c r="H488" s="93">
        <f t="shared" si="11"/>
        <v>46.88353988151382</v>
      </c>
    </row>
    <row r="489" spans="1:8" ht="50.25" customHeight="1">
      <c r="A489" s="83" t="s">
        <v>861</v>
      </c>
      <c r="B489" s="83" t="s">
        <v>846</v>
      </c>
      <c r="C489" s="83" t="s">
        <v>1224</v>
      </c>
      <c r="D489" s="95" t="s">
        <v>1222</v>
      </c>
      <c r="E489" s="99" t="s">
        <v>1223</v>
      </c>
      <c r="F489" s="91">
        <f>822635+932000</f>
        <v>1754635</v>
      </c>
      <c r="G489" s="92">
        <v>822635</v>
      </c>
      <c r="H489" s="93">
        <f t="shared" si="11"/>
        <v>46.88353988151382</v>
      </c>
    </row>
    <row r="490" spans="1:8" ht="36" customHeight="1">
      <c r="A490" s="83" t="s">
        <v>862</v>
      </c>
      <c r="B490" s="84" t="s">
        <v>863</v>
      </c>
      <c r="C490" s="84"/>
      <c r="D490" s="85"/>
      <c r="E490" s="89" t="s">
        <v>864</v>
      </c>
      <c r="F490" s="144">
        <f aca="true" t="shared" si="12" ref="F490:G492">F491</f>
        <v>1228000</v>
      </c>
      <c r="G490" s="145">
        <f t="shared" si="12"/>
        <v>634385.3300000001</v>
      </c>
      <c r="H490" s="88">
        <f t="shared" si="11"/>
        <v>51.660043159609124</v>
      </c>
    </row>
    <row r="491" spans="1:8" ht="50.25" customHeight="1">
      <c r="A491" s="83" t="s">
        <v>865</v>
      </c>
      <c r="B491" s="83" t="s">
        <v>863</v>
      </c>
      <c r="C491" s="83" t="s">
        <v>613</v>
      </c>
      <c r="D491" s="95"/>
      <c r="E491" s="67" t="s">
        <v>614</v>
      </c>
      <c r="F491" s="96">
        <f t="shared" si="12"/>
        <v>1228000</v>
      </c>
      <c r="G491" s="98">
        <f t="shared" si="12"/>
        <v>634385.3300000001</v>
      </c>
      <c r="H491" s="93">
        <f t="shared" si="11"/>
        <v>51.660043159609124</v>
      </c>
    </row>
    <row r="492" spans="1:8" ht="66.75" customHeight="1">
      <c r="A492" s="83" t="s">
        <v>866</v>
      </c>
      <c r="B492" s="83" t="s">
        <v>863</v>
      </c>
      <c r="C492" s="83" t="s">
        <v>867</v>
      </c>
      <c r="D492" s="95"/>
      <c r="E492" s="67" t="s">
        <v>868</v>
      </c>
      <c r="F492" s="96">
        <f t="shared" si="12"/>
        <v>1228000</v>
      </c>
      <c r="G492" s="96">
        <f t="shared" si="12"/>
        <v>634385.3300000001</v>
      </c>
      <c r="H492" s="93">
        <f t="shared" si="11"/>
        <v>51.660043159609124</v>
      </c>
    </row>
    <row r="493" spans="1:8" ht="34.5" customHeight="1">
      <c r="A493" s="83" t="s">
        <v>869</v>
      </c>
      <c r="B493" s="83" t="s">
        <v>863</v>
      </c>
      <c r="C493" s="83" t="s">
        <v>870</v>
      </c>
      <c r="D493" s="95"/>
      <c r="E493" s="67" t="s">
        <v>871</v>
      </c>
      <c r="F493" s="96">
        <f>F494+F495</f>
        <v>1228000</v>
      </c>
      <c r="G493" s="96">
        <f>G494+G495</f>
        <v>634385.3300000001</v>
      </c>
      <c r="H493" s="93">
        <f t="shared" si="11"/>
        <v>51.660043159609124</v>
      </c>
    </row>
    <row r="494" spans="1:8" ht="36.75" customHeight="1">
      <c r="A494" s="83" t="s">
        <v>872</v>
      </c>
      <c r="B494" s="83" t="s">
        <v>863</v>
      </c>
      <c r="C494" s="83" t="s">
        <v>870</v>
      </c>
      <c r="D494" s="95" t="s">
        <v>1216</v>
      </c>
      <c r="E494" s="67" t="s">
        <v>1217</v>
      </c>
      <c r="F494" s="96">
        <v>1040290</v>
      </c>
      <c r="G494" s="98">
        <v>454053.33</v>
      </c>
      <c r="H494" s="93">
        <f t="shared" si="11"/>
        <v>43.64680329523498</v>
      </c>
    </row>
    <row r="495" spans="1:8" ht="46.5" customHeight="1">
      <c r="A495" s="83" t="s">
        <v>873</v>
      </c>
      <c r="B495" s="83" t="s">
        <v>863</v>
      </c>
      <c r="C495" s="83" t="s">
        <v>870</v>
      </c>
      <c r="D495" s="95" t="s">
        <v>1222</v>
      </c>
      <c r="E495" s="99" t="s">
        <v>1223</v>
      </c>
      <c r="F495" s="96">
        <v>187710</v>
      </c>
      <c r="G495" s="98">
        <v>180332</v>
      </c>
      <c r="H495" s="93">
        <f t="shared" si="11"/>
        <v>96.06946886154174</v>
      </c>
    </row>
    <row r="496" spans="1:8" ht="21.75" customHeight="1">
      <c r="A496" s="83" t="s">
        <v>874</v>
      </c>
      <c r="B496" s="84" t="s">
        <v>875</v>
      </c>
      <c r="C496" s="83"/>
      <c r="D496" s="95"/>
      <c r="E496" s="111" t="s">
        <v>876</v>
      </c>
      <c r="F496" s="87">
        <f aca="true" t="shared" si="13" ref="F496:G500">F497</f>
        <v>2000000</v>
      </c>
      <c r="G496" s="101">
        <f t="shared" si="13"/>
        <v>1128416</v>
      </c>
      <c r="H496" s="88">
        <f t="shared" si="11"/>
        <v>56.42080000000001</v>
      </c>
    </row>
    <row r="497" spans="1:8" ht="22.5" customHeight="1">
      <c r="A497" s="83" t="s">
        <v>877</v>
      </c>
      <c r="B497" s="84" t="s">
        <v>878</v>
      </c>
      <c r="C497" s="84"/>
      <c r="D497" s="85"/>
      <c r="E497" s="149" t="s">
        <v>879</v>
      </c>
      <c r="F497" s="87">
        <f t="shared" si="13"/>
        <v>2000000</v>
      </c>
      <c r="G497" s="101">
        <f t="shared" si="13"/>
        <v>1128416</v>
      </c>
      <c r="H497" s="88">
        <f t="shared" si="11"/>
        <v>56.42080000000001</v>
      </c>
    </row>
    <row r="498" spans="1:8" ht="35.25" customHeight="1">
      <c r="A498" s="83" t="s">
        <v>880</v>
      </c>
      <c r="B498" s="83" t="s">
        <v>878</v>
      </c>
      <c r="C498" s="83" t="s">
        <v>37</v>
      </c>
      <c r="D498" s="85"/>
      <c r="E498" s="67" t="s">
        <v>38</v>
      </c>
      <c r="F498" s="91">
        <f t="shared" si="13"/>
        <v>2000000</v>
      </c>
      <c r="G498" s="92">
        <f t="shared" si="13"/>
        <v>1128416</v>
      </c>
      <c r="H498" s="93">
        <f t="shared" si="11"/>
        <v>56.42080000000001</v>
      </c>
    </row>
    <row r="499" spans="1:8" ht="32.25" customHeight="1">
      <c r="A499" s="83" t="s">
        <v>881</v>
      </c>
      <c r="B499" s="83" t="s">
        <v>878</v>
      </c>
      <c r="C499" s="83" t="s">
        <v>53</v>
      </c>
      <c r="D499" s="85"/>
      <c r="E499" s="67" t="s">
        <v>54</v>
      </c>
      <c r="F499" s="91">
        <f t="shared" si="13"/>
        <v>2000000</v>
      </c>
      <c r="G499" s="92">
        <f t="shared" si="13"/>
        <v>1128416</v>
      </c>
      <c r="H499" s="93">
        <f t="shared" si="11"/>
        <v>56.42080000000001</v>
      </c>
    </row>
    <row r="500" spans="1:8" ht="33" customHeight="1">
      <c r="A500" s="83" t="s">
        <v>882</v>
      </c>
      <c r="B500" s="83" t="s">
        <v>878</v>
      </c>
      <c r="C500" s="83" t="s">
        <v>883</v>
      </c>
      <c r="D500" s="85"/>
      <c r="E500" s="67" t="s">
        <v>884</v>
      </c>
      <c r="F500" s="91">
        <f t="shared" si="13"/>
        <v>2000000</v>
      </c>
      <c r="G500" s="92">
        <f t="shared" si="13"/>
        <v>1128416</v>
      </c>
      <c r="H500" s="93">
        <f t="shared" si="11"/>
        <v>56.42080000000001</v>
      </c>
    </row>
    <row r="501" spans="1:8" ht="18" customHeight="1">
      <c r="A501" s="83" t="s">
        <v>885</v>
      </c>
      <c r="B501" s="83" t="s">
        <v>878</v>
      </c>
      <c r="C501" s="83" t="s">
        <v>883</v>
      </c>
      <c r="D501" s="95" t="s">
        <v>62</v>
      </c>
      <c r="E501" s="67" t="s">
        <v>63</v>
      </c>
      <c r="F501" s="96">
        <v>2000000</v>
      </c>
      <c r="G501" s="98">
        <v>1128416</v>
      </c>
      <c r="H501" s="93">
        <f t="shared" si="11"/>
        <v>56.42080000000001</v>
      </c>
    </row>
    <row r="502" spans="1:8" ht="33" customHeight="1">
      <c r="A502" s="83" t="s">
        <v>886</v>
      </c>
      <c r="B502" s="84" t="s">
        <v>887</v>
      </c>
      <c r="C502" s="83"/>
      <c r="D502" s="97"/>
      <c r="E502" s="89" t="s">
        <v>888</v>
      </c>
      <c r="F502" s="87">
        <f aca="true" t="shared" si="14" ref="F502:G506">F503</f>
        <v>1632517</v>
      </c>
      <c r="G502" s="101">
        <f t="shared" si="14"/>
        <v>774867.68</v>
      </c>
      <c r="H502" s="88">
        <f t="shared" si="11"/>
        <v>47.464600981184276</v>
      </c>
    </row>
    <row r="503" spans="1:8" ht="30" customHeight="1">
      <c r="A503" s="83" t="s">
        <v>889</v>
      </c>
      <c r="B503" s="84" t="s">
        <v>890</v>
      </c>
      <c r="C503" s="84"/>
      <c r="D503" s="85"/>
      <c r="E503" s="89" t="s">
        <v>891</v>
      </c>
      <c r="F503" s="87">
        <f t="shared" si="14"/>
        <v>1632517</v>
      </c>
      <c r="G503" s="101">
        <f t="shared" si="14"/>
        <v>774867.68</v>
      </c>
      <c r="H503" s="88">
        <f t="shared" si="11"/>
        <v>47.464600981184276</v>
      </c>
    </row>
    <row r="504" spans="1:8" ht="64.5" customHeight="1">
      <c r="A504" s="83" t="s">
        <v>892</v>
      </c>
      <c r="B504" s="83" t="s">
        <v>890</v>
      </c>
      <c r="C504" s="83" t="s">
        <v>12</v>
      </c>
      <c r="D504" s="95"/>
      <c r="E504" s="67" t="s">
        <v>13</v>
      </c>
      <c r="F504" s="91">
        <f t="shared" si="14"/>
        <v>1632517</v>
      </c>
      <c r="G504" s="92">
        <f t="shared" si="14"/>
        <v>774867.68</v>
      </c>
      <c r="H504" s="93">
        <f t="shared" si="11"/>
        <v>47.464600981184276</v>
      </c>
    </row>
    <row r="505" spans="1:8" ht="32.25" customHeight="1">
      <c r="A505" s="83" t="s">
        <v>893</v>
      </c>
      <c r="B505" s="83" t="s">
        <v>890</v>
      </c>
      <c r="C505" s="83" t="s">
        <v>894</v>
      </c>
      <c r="D505" s="95"/>
      <c r="E505" s="67" t="s">
        <v>895</v>
      </c>
      <c r="F505" s="91">
        <f t="shared" si="14"/>
        <v>1632517</v>
      </c>
      <c r="G505" s="92">
        <f t="shared" si="14"/>
        <v>774867.68</v>
      </c>
      <c r="H505" s="93">
        <f t="shared" si="11"/>
        <v>47.464600981184276</v>
      </c>
    </row>
    <row r="506" spans="1:8" ht="81.75" customHeight="1">
      <c r="A506" s="83" t="s">
        <v>896</v>
      </c>
      <c r="B506" s="83" t="s">
        <v>890</v>
      </c>
      <c r="C506" s="83" t="s">
        <v>897</v>
      </c>
      <c r="D506" s="95"/>
      <c r="E506" s="67" t="s">
        <v>898</v>
      </c>
      <c r="F506" s="91">
        <f t="shared" si="14"/>
        <v>1632517</v>
      </c>
      <c r="G506" s="92">
        <f t="shared" si="14"/>
        <v>774867.68</v>
      </c>
      <c r="H506" s="93">
        <f t="shared" si="11"/>
        <v>47.464600981184276</v>
      </c>
    </row>
    <row r="507" spans="1:8" ht="18" customHeight="1">
      <c r="A507" s="83" t="s">
        <v>899</v>
      </c>
      <c r="B507" s="83" t="s">
        <v>890</v>
      </c>
      <c r="C507" s="83" t="s">
        <v>897</v>
      </c>
      <c r="D507" s="95" t="s">
        <v>900</v>
      </c>
      <c r="E507" s="67" t="s">
        <v>901</v>
      </c>
      <c r="F507" s="91">
        <f>1625940+6577</f>
        <v>1632517</v>
      </c>
      <c r="G507" s="92">
        <v>774867.68</v>
      </c>
      <c r="H507" s="93">
        <f t="shared" si="11"/>
        <v>47.464600981184276</v>
      </c>
    </row>
    <row r="508" spans="1:8" ht="21" customHeight="1">
      <c r="A508" s="83" t="s">
        <v>902</v>
      </c>
      <c r="B508" s="150"/>
      <c r="C508" s="151"/>
      <c r="D508" s="151"/>
      <c r="E508" s="152" t="s">
        <v>903</v>
      </c>
      <c r="F508" s="87">
        <f>F7+F86+F92+F124+F205+F273+F289+F403+F435+F479+F502+F496</f>
        <v>547216963.98</v>
      </c>
      <c r="G508" s="87">
        <f>G7+G86+G92+G124+G205+G273+G289+G403+G435+G479+G502+G496</f>
        <v>195483371.01999998</v>
      </c>
      <c r="H508" s="88">
        <f t="shared" si="11"/>
        <v>35.72319278960522</v>
      </c>
    </row>
    <row r="510" spans="6:7" ht="12.75">
      <c r="F510" s="153">
        <f>F487+F476+F473+F453+F450+F447+F271+F88+F45+F33+F22+F13+F9</f>
        <v>57903868</v>
      </c>
      <c r="G510" s="153">
        <f>G487+G476+G473+G453+G450+G447+G271+G88+G45+G33+G22+G13+G9</f>
        <v>28482353.73</v>
      </c>
    </row>
    <row r="511" spans="6:7" ht="12.75">
      <c r="F511" s="153">
        <f>F508-F510</f>
        <v>489313095.98</v>
      </c>
      <c r="G511" s="153">
        <f>G508-G510</f>
        <v>167001017.29</v>
      </c>
    </row>
    <row r="512" ht="12.75">
      <c r="G512" s="154"/>
    </row>
    <row r="514" spans="6:7" ht="12.75">
      <c r="F514" s="153">
        <f>F10+F14+F17+F19+F22+F33+F45+F88+F271+F446+F472+F487</f>
        <v>57903868</v>
      </c>
      <c r="G514" s="153">
        <f>G10+G14+G17+G19+G22+G33+G45+G88+G271+G446+G472+G487</f>
        <v>28482353.73</v>
      </c>
    </row>
    <row r="515" spans="6:7" ht="12.75">
      <c r="F515" s="153">
        <f>F511-'[1]пр 6'!L68</f>
        <v>0</v>
      </c>
      <c r="G515" s="154">
        <f>G511-'[1]пр 6'!M68</f>
        <v>0</v>
      </c>
    </row>
  </sheetData>
  <sheetProtection selectLockedCells="1" selectUnlockedCells="1"/>
  <mergeCells count="2">
    <mergeCell ref="J5:L5"/>
    <mergeCell ref="A3:G3"/>
  </mergeCells>
  <printOptions/>
  <pageMargins left="0.8270833333333333" right="0.19652777777777777" top="0.27569444444444446" bottom="0.19652777777777777" header="0.5118055555555555" footer="0.5118055555555555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selection activeCell="B1" sqref="B1:E1"/>
    </sheetView>
  </sheetViews>
  <sheetFormatPr defaultColWidth="9.140625" defaultRowHeight="12.75"/>
  <cols>
    <col min="1" max="1" width="4.8515625" style="1" customWidth="1"/>
    <col min="2" max="2" width="25.7109375" style="1" customWidth="1"/>
    <col min="3" max="3" width="24.00390625" style="1" customWidth="1"/>
    <col min="4" max="4" width="13.8515625" style="1" customWidth="1"/>
    <col min="5" max="5" width="12.57421875" style="1" customWidth="1"/>
    <col min="6" max="6" width="8.57421875" style="1" customWidth="1"/>
    <col min="7" max="8" width="9.140625" style="1" customWidth="1"/>
    <col min="9" max="9" width="13.8515625" style="1" bestFit="1" customWidth="1"/>
    <col min="10" max="16384" width="9.140625" style="1" customWidth="1"/>
  </cols>
  <sheetData>
    <row r="1" spans="2:7" ht="55.5" customHeight="1">
      <c r="B1" s="268" t="s">
        <v>930</v>
      </c>
      <c r="C1" s="268"/>
      <c r="D1" s="268"/>
      <c r="E1" s="268"/>
      <c r="F1" s="59"/>
      <c r="G1" s="155"/>
    </row>
    <row r="2" ht="15.75" customHeight="1">
      <c r="F2" s="5" t="s">
        <v>931</v>
      </c>
    </row>
    <row r="3" spans="1:6" ht="12.75">
      <c r="A3" s="265" t="s">
        <v>906</v>
      </c>
      <c r="B3" s="265" t="s">
        <v>907</v>
      </c>
      <c r="C3" s="265" t="s">
        <v>908</v>
      </c>
      <c r="D3" s="265" t="s">
        <v>909</v>
      </c>
      <c r="E3" s="267" t="s">
        <v>910</v>
      </c>
      <c r="F3" s="267" t="s">
        <v>937</v>
      </c>
    </row>
    <row r="4" spans="1:6" ht="50.25" customHeight="1">
      <c r="A4" s="266"/>
      <c r="B4" s="266"/>
      <c r="C4" s="266"/>
      <c r="D4" s="266"/>
      <c r="E4" s="267"/>
      <c r="F4" s="267"/>
    </row>
    <row r="5" spans="1:6" ht="15.75">
      <c r="A5" s="156">
        <v>1</v>
      </c>
      <c r="B5" s="156">
        <v>2</v>
      </c>
      <c r="C5" s="156">
        <v>3</v>
      </c>
      <c r="D5" s="156">
        <v>4</v>
      </c>
      <c r="E5" s="156">
        <v>5</v>
      </c>
      <c r="F5" s="156">
        <v>6</v>
      </c>
    </row>
    <row r="6" spans="1:6" ht="39.75" customHeight="1">
      <c r="A6" s="157">
        <v>1</v>
      </c>
      <c r="B6" s="158" t="s">
        <v>911</v>
      </c>
      <c r="C6" s="159" t="s">
        <v>912</v>
      </c>
      <c r="D6" s="160">
        <f>D7+D8</f>
        <v>2248328</v>
      </c>
      <c r="E6" s="160">
        <f>E7+E8</f>
        <v>-4752000</v>
      </c>
      <c r="F6" s="161">
        <f aca="true" t="shared" si="0" ref="F6:F15">E6/D6*100</f>
        <v>-211.3570617810213</v>
      </c>
    </row>
    <row r="7" spans="1:6" ht="63" customHeight="1">
      <c r="A7" s="157">
        <v>2</v>
      </c>
      <c r="B7" s="162" t="s">
        <v>913</v>
      </c>
      <c r="C7" s="163" t="s">
        <v>914</v>
      </c>
      <c r="D7" s="164">
        <v>12859000</v>
      </c>
      <c r="E7" s="165">
        <v>0</v>
      </c>
      <c r="F7" s="166">
        <f t="shared" si="0"/>
        <v>0</v>
      </c>
    </row>
    <row r="8" spans="1:9" ht="51" customHeight="1">
      <c r="A8" s="157">
        <v>3</v>
      </c>
      <c r="B8" s="162" t="s">
        <v>915</v>
      </c>
      <c r="C8" s="163" t="s">
        <v>916</v>
      </c>
      <c r="D8" s="164">
        <f>-10610672</f>
        <v>-10610672</v>
      </c>
      <c r="E8" s="165">
        <f>-4752000</f>
        <v>-4752000</v>
      </c>
      <c r="F8" s="166">
        <f t="shared" si="0"/>
        <v>44.78509937919106</v>
      </c>
      <c r="I8" s="167"/>
    </row>
    <row r="9" spans="1:6" ht="53.25" customHeight="1">
      <c r="A9" s="157">
        <v>4</v>
      </c>
      <c r="B9" s="158" t="s">
        <v>917</v>
      </c>
      <c r="C9" s="159" t="s">
        <v>918</v>
      </c>
      <c r="D9" s="160">
        <f>SUM(D10:D11)</f>
        <v>-1416328</v>
      </c>
      <c r="E9" s="160">
        <f>SUM(E10:E11)</f>
        <v>2200000</v>
      </c>
      <c r="F9" s="161">
        <f t="shared" si="0"/>
        <v>-155.33125095316905</v>
      </c>
    </row>
    <row r="10" spans="1:6" ht="83.25" customHeight="1">
      <c r="A10" s="157">
        <v>5</v>
      </c>
      <c r="B10" s="162" t="s">
        <v>919</v>
      </c>
      <c r="C10" s="163" t="s">
        <v>920</v>
      </c>
      <c r="D10" s="164">
        <v>6000000</v>
      </c>
      <c r="E10" s="165">
        <v>2700000</v>
      </c>
      <c r="F10" s="166">
        <f t="shared" si="0"/>
        <v>45</v>
      </c>
    </row>
    <row r="11" spans="1:6" ht="78" customHeight="1">
      <c r="A11" s="157">
        <v>6</v>
      </c>
      <c r="B11" s="162" t="s">
        <v>921</v>
      </c>
      <c r="C11" s="163" t="s">
        <v>922</v>
      </c>
      <c r="D11" s="164">
        <f>-7416328</f>
        <v>-7416328</v>
      </c>
      <c r="E11" s="165">
        <f>-500000</f>
        <v>-500000</v>
      </c>
      <c r="F11" s="166">
        <f t="shared" si="0"/>
        <v>6.741880887684578</v>
      </c>
    </row>
    <row r="12" spans="1:6" ht="38.25">
      <c r="A12" s="157">
        <v>7</v>
      </c>
      <c r="B12" s="158" t="s">
        <v>923</v>
      </c>
      <c r="C12" s="159" t="s">
        <v>924</v>
      </c>
      <c r="D12" s="160">
        <f>-D13+D14</f>
        <v>14693063.98000002</v>
      </c>
      <c r="E12" s="160">
        <f>-E13+E14</f>
        <v>-38089006.99000001</v>
      </c>
      <c r="F12" s="161">
        <f t="shared" si="0"/>
        <v>-259.231206247017</v>
      </c>
    </row>
    <row r="13" spans="1:6" ht="38.25">
      <c r="A13" s="168">
        <v>8</v>
      </c>
      <c r="B13" s="162" t="s">
        <v>925</v>
      </c>
      <c r="C13" s="163" t="s">
        <v>926</v>
      </c>
      <c r="D13" s="164">
        <v>550550900</v>
      </c>
      <c r="E13" s="165">
        <v>254149511.75</v>
      </c>
      <c r="F13" s="166">
        <f t="shared" si="0"/>
        <v>46.16276383346209</v>
      </c>
    </row>
    <row r="14" spans="1:6" ht="38.25">
      <c r="A14" s="168">
        <v>9</v>
      </c>
      <c r="B14" s="162" t="s">
        <v>927</v>
      </c>
      <c r="C14" s="163" t="s">
        <v>928</v>
      </c>
      <c r="D14" s="164">
        <v>565243963.98</v>
      </c>
      <c r="E14" s="165">
        <v>216060504.76</v>
      </c>
      <c r="F14" s="166">
        <f t="shared" si="0"/>
        <v>38.22429225757196</v>
      </c>
    </row>
    <row r="15" spans="1:6" ht="38.25" customHeight="1">
      <c r="A15" s="169">
        <v>10</v>
      </c>
      <c r="B15" s="158" t="s">
        <v>929</v>
      </c>
      <c r="C15" s="170"/>
      <c r="D15" s="171">
        <f>D6+D9+D12</f>
        <v>15525063.98000002</v>
      </c>
      <c r="E15" s="171">
        <f>E6+E9+E12</f>
        <v>-40641006.99000001</v>
      </c>
      <c r="F15" s="161">
        <f t="shared" si="0"/>
        <v>-261.77674399509925</v>
      </c>
    </row>
  </sheetData>
  <sheetProtection/>
  <mergeCells count="7">
    <mergeCell ref="E3:E4"/>
    <mergeCell ref="F3:F4"/>
    <mergeCell ref="B1:E1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2016-04-04T08:06:27Z</dcterms:modified>
  <cp:category/>
  <cp:version/>
  <cp:contentType/>
  <cp:contentStatus/>
</cp:coreProperties>
</file>