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1. АРХИВ ПА\2023\Постановления\№ 4 от 09.01.2023 МП спорт\"/>
    </mc:Choice>
  </mc:AlternateContent>
  <bookViews>
    <workbookView xWindow="0" yWindow="0" windowWidth="23040" windowHeight="8616"/>
  </bookViews>
  <sheets>
    <sheet name="Прил 2 МП &quot;РФКСиПМ в ГО НС&quot;" sheetId="1" r:id="rId1"/>
  </sheets>
  <definedNames>
    <definedName name="_xlnm.Print_Area" localSheetId="0">'Прил 2 МП "РФКСиПМ в ГО НС"'!$A$1:$P$320</definedName>
  </definedNames>
  <calcPr calcId="162913"/>
</workbook>
</file>

<file path=xl/calcChain.xml><?xml version="1.0" encoding="utf-8"?>
<calcChain xmlns="http://schemas.openxmlformats.org/spreadsheetml/2006/main">
  <c r="D317" i="1" l="1"/>
  <c r="D316" i="1"/>
  <c r="D315" i="1"/>
  <c r="D314" i="1"/>
  <c r="O312" i="1"/>
  <c r="N312" i="1"/>
  <c r="M312" i="1"/>
  <c r="L312" i="1"/>
  <c r="K312" i="1"/>
  <c r="J312" i="1"/>
  <c r="I312" i="1"/>
  <c r="H312" i="1"/>
  <c r="G312" i="1"/>
  <c r="F312" i="1"/>
  <c r="D312" i="1" s="1"/>
  <c r="E312" i="1"/>
  <c r="K311" i="1"/>
  <c r="J311" i="1"/>
  <c r="J307" i="1" s="1"/>
  <c r="I311" i="1"/>
  <c r="I305" i="1" s="1"/>
  <c r="H311" i="1"/>
  <c r="G311" i="1"/>
  <c r="G305" i="1" s="1"/>
  <c r="F311" i="1"/>
  <c r="E311" i="1"/>
  <c r="D311" i="1" s="1"/>
  <c r="O310" i="1"/>
  <c r="O304" i="1" s="1"/>
  <c r="O301" i="1" s="1"/>
  <c r="N310" i="1"/>
  <c r="M310" i="1"/>
  <c r="L310" i="1"/>
  <c r="L307" i="1" s="1"/>
  <c r="K310" i="1"/>
  <c r="J310" i="1"/>
  <c r="I310" i="1"/>
  <c r="H310" i="1"/>
  <c r="G310" i="1"/>
  <c r="G304" i="1" s="1"/>
  <c r="F310" i="1"/>
  <c r="E310" i="1"/>
  <c r="K309" i="1"/>
  <c r="J309" i="1"/>
  <c r="I309" i="1"/>
  <c r="H309" i="1"/>
  <c r="H303" i="1" s="1"/>
  <c r="G309" i="1"/>
  <c r="F309" i="1"/>
  <c r="E309" i="1"/>
  <c r="K308" i="1"/>
  <c r="J308" i="1"/>
  <c r="I308" i="1"/>
  <c r="I307" i="1" s="1"/>
  <c r="H308" i="1"/>
  <c r="G308" i="1"/>
  <c r="F308" i="1"/>
  <c r="D308" i="1" s="1"/>
  <c r="E308" i="1"/>
  <c r="M307" i="1"/>
  <c r="K307" i="1"/>
  <c r="E307" i="1"/>
  <c r="K305" i="1"/>
  <c r="J305" i="1"/>
  <c r="H305" i="1"/>
  <c r="F305" i="1"/>
  <c r="D305" i="1" s="1"/>
  <c r="E305" i="1"/>
  <c r="M304" i="1"/>
  <c r="K304" i="1"/>
  <c r="J304" i="1"/>
  <c r="I304" i="1"/>
  <c r="H304" i="1"/>
  <c r="E304" i="1"/>
  <c r="K303" i="1"/>
  <c r="J303" i="1"/>
  <c r="I303" i="1"/>
  <c r="F303" i="1"/>
  <c r="K302" i="1"/>
  <c r="K301" i="1" s="1"/>
  <c r="J302" i="1"/>
  <c r="G302" i="1"/>
  <c r="E302" i="1"/>
  <c r="M301" i="1"/>
  <c r="J301" i="1"/>
  <c r="D299" i="1"/>
  <c r="D298" i="1"/>
  <c r="D297" i="1"/>
  <c r="D296" i="1"/>
  <c r="O294" i="1"/>
  <c r="N294" i="1"/>
  <c r="M294" i="1"/>
  <c r="L294" i="1"/>
  <c r="K294" i="1"/>
  <c r="J294" i="1"/>
  <c r="I294" i="1"/>
  <c r="H294" i="1"/>
  <c r="G294" i="1"/>
  <c r="F294" i="1"/>
  <c r="E294" i="1"/>
  <c r="K293" i="1"/>
  <c r="J293" i="1"/>
  <c r="I293" i="1"/>
  <c r="H293" i="1"/>
  <c r="H287" i="1" s="1"/>
  <c r="G293" i="1"/>
  <c r="F293" i="1"/>
  <c r="D293" i="1" s="1"/>
  <c r="E293" i="1"/>
  <c r="O292" i="1"/>
  <c r="O289" i="1" s="1"/>
  <c r="N292" i="1"/>
  <c r="M292" i="1"/>
  <c r="L292" i="1"/>
  <c r="K292" i="1"/>
  <c r="K289" i="1" s="1"/>
  <c r="J292" i="1"/>
  <c r="I292" i="1"/>
  <c r="H292" i="1"/>
  <c r="G292" i="1"/>
  <c r="F292" i="1"/>
  <c r="E292" i="1"/>
  <c r="K291" i="1"/>
  <c r="J291" i="1"/>
  <c r="I291" i="1"/>
  <c r="H291" i="1"/>
  <c r="G291" i="1"/>
  <c r="F291" i="1"/>
  <c r="E291" i="1"/>
  <c r="K290" i="1"/>
  <c r="J290" i="1"/>
  <c r="I290" i="1"/>
  <c r="I289" i="1" s="1"/>
  <c r="H290" i="1"/>
  <c r="H289" i="1" s="1"/>
  <c r="G290" i="1"/>
  <c r="F290" i="1"/>
  <c r="E290" i="1"/>
  <c r="N289" i="1"/>
  <c r="L289" i="1"/>
  <c r="J289" i="1"/>
  <c r="K287" i="1"/>
  <c r="J287" i="1"/>
  <c r="I287" i="1"/>
  <c r="G287" i="1"/>
  <c r="E287" i="1"/>
  <c r="O286" i="1"/>
  <c r="N286" i="1"/>
  <c r="L286" i="1"/>
  <c r="L283" i="1" s="1"/>
  <c r="J286" i="1"/>
  <c r="I286" i="1"/>
  <c r="H286" i="1"/>
  <c r="H283" i="1" s="1"/>
  <c r="G286" i="1"/>
  <c r="F286" i="1"/>
  <c r="K285" i="1"/>
  <c r="J285" i="1"/>
  <c r="I285" i="1"/>
  <c r="H285" i="1"/>
  <c r="G285" i="1"/>
  <c r="E285" i="1"/>
  <c r="K284" i="1"/>
  <c r="J284" i="1"/>
  <c r="I284" i="1"/>
  <c r="H284" i="1"/>
  <c r="F284" i="1"/>
  <c r="O283" i="1"/>
  <c r="N283" i="1"/>
  <c r="I283" i="1"/>
  <c r="D281" i="1"/>
  <c r="D280" i="1"/>
  <c r="D279" i="1"/>
  <c r="D278" i="1"/>
  <c r="O276" i="1"/>
  <c r="N276" i="1"/>
  <c r="M276" i="1"/>
  <c r="L276" i="1"/>
  <c r="K276" i="1"/>
  <c r="J276" i="1"/>
  <c r="I276" i="1"/>
  <c r="H276" i="1"/>
  <c r="G276" i="1"/>
  <c r="F276" i="1"/>
  <c r="D276" i="1" s="1"/>
  <c r="E276" i="1"/>
  <c r="D273" i="1"/>
  <c r="D272" i="1"/>
  <c r="D271" i="1"/>
  <c r="D270" i="1"/>
  <c r="K268" i="1"/>
  <c r="J268" i="1"/>
  <c r="I268" i="1"/>
  <c r="H268" i="1"/>
  <c r="G268" i="1"/>
  <c r="F268" i="1"/>
  <c r="E268" i="1"/>
  <c r="D268" i="1" s="1"/>
  <c r="D267" i="1"/>
  <c r="D266" i="1"/>
  <c r="D265" i="1"/>
  <c r="D264" i="1"/>
  <c r="M262" i="1"/>
  <c r="L262" i="1"/>
  <c r="K262" i="1"/>
  <c r="J262" i="1"/>
  <c r="I262" i="1"/>
  <c r="H262" i="1"/>
  <c r="G262" i="1"/>
  <c r="F262" i="1"/>
  <c r="E262" i="1"/>
  <c r="D262" i="1"/>
  <c r="D261" i="1"/>
  <c r="D260" i="1"/>
  <c r="D259" i="1"/>
  <c r="D258" i="1"/>
  <c r="K256" i="1"/>
  <c r="J256" i="1"/>
  <c r="I256" i="1"/>
  <c r="H256" i="1"/>
  <c r="G256" i="1"/>
  <c r="F256" i="1"/>
  <c r="E256" i="1"/>
  <c r="D256" i="1" s="1"/>
  <c r="D255" i="1"/>
  <c r="M254" i="1"/>
  <c r="L254" i="1"/>
  <c r="D254" i="1"/>
  <c r="D253" i="1"/>
  <c r="D252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O249" i="1"/>
  <c r="N249" i="1"/>
  <c r="M249" i="1"/>
  <c r="K249" i="1"/>
  <c r="J249" i="1"/>
  <c r="I249" i="1"/>
  <c r="H249" i="1"/>
  <c r="H243" i="1" s="1"/>
  <c r="G249" i="1"/>
  <c r="F249" i="1"/>
  <c r="E249" i="1"/>
  <c r="D249" i="1" s="1"/>
  <c r="O248" i="1"/>
  <c r="N248" i="1"/>
  <c r="M248" i="1"/>
  <c r="M242" i="1" s="1"/>
  <c r="M239" i="1" s="1"/>
  <c r="L248" i="1"/>
  <c r="K248" i="1"/>
  <c r="J248" i="1"/>
  <c r="I248" i="1"/>
  <c r="H248" i="1"/>
  <c r="G248" i="1"/>
  <c r="F248" i="1"/>
  <c r="E248" i="1"/>
  <c r="E25" i="1" s="1"/>
  <c r="O247" i="1"/>
  <c r="N247" i="1"/>
  <c r="M247" i="1"/>
  <c r="L247" i="1"/>
  <c r="K247" i="1"/>
  <c r="J247" i="1"/>
  <c r="I247" i="1"/>
  <c r="H247" i="1"/>
  <c r="D247" i="1" s="1"/>
  <c r="G247" i="1"/>
  <c r="F247" i="1"/>
  <c r="E247" i="1"/>
  <c r="O246" i="1"/>
  <c r="O245" i="1" s="1"/>
  <c r="N246" i="1"/>
  <c r="M246" i="1"/>
  <c r="L246" i="1"/>
  <c r="K246" i="1"/>
  <c r="J246" i="1"/>
  <c r="I246" i="1"/>
  <c r="H246" i="1"/>
  <c r="G246" i="1"/>
  <c r="F246" i="1"/>
  <c r="E246" i="1"/>
  <c r="D246" i="1" s="1"/>
  <c r="N245" i="1"/>
  <c r="L245" i="1"/>
  <c r="K245" i="1"/>
  <c r="I245" i="1"/>
  <c r="F245" i="1"/>
  <c r="K243" i="1"/>
  <c r="J243" i="1"/>
  <c r="I243" i="1"/>
  <c r="G243" i="1"/>
  <c r="F243" i="1"/>
  <c r="E243" i="1"/>
  <c r="D243" i="1" s="1"/>
  <c r="O242" i="1"/>
  <c r="N242" i="1"/>
  <c r="L242" i="1"/>
  <c r="K242" i="1"/>
  <c r="J242" i="1"/>
  <c r="I242" i="1"/>
  <c r="H242" i="1"/>
  <c r="H239" i="1" s="1"/>
  <c r="G242" i="1"/>
  <c r="F242" i="1"/>
  <c r="K241" i="1"/>
  <c r="K239" i="1" s="1"/>
  <c r="I241" i="1"/>
  <c r="H241" i="1"/>
  <c r="G241" i="1"/>
  <c r="F241" i="1"/>
  <c r="E241" i="1"/>
  <c r="K240" i="1"/>
  <c r="J240" i="1"/>
  <c r="I240" i="1"/>
  <c r="H240" i="1"/>
  <c r="F240" i="1"/>
  <c r="F239" i="1" s="1"/>
  <c r="E240" i="1"/>
  <c r="O239" i="1"/>
  <c r="N239" i="1"/>
  <c r="L239" i="1"/>
  <c r="I239" i="1"/>
  <c r="M237" i="1"/>
  <c r="M236" i="1" s="1"/>
  <c r="M210" i="1" s="1"/>
  <c r="M204" i="1" s="1"/>
  <c r="L237" i="1"/>
  <c r="O236" i="1"/>
  <c r="N236" i="1"/>
  <c r="K236" i="1"/>
  <c r="J236" i="1"/>
  <c r="D235" i="1"/>
  <c r="C234" i="1"/>
  <c r="C233" i="1"/>
  <c r="D232" i="1"/>
  <c r="K230" i="1"/>
  <c r="J230" i="1"/>
  <c r="I230" i="1"/>
  <c r="H230" i="1"/>
  <c r="G230" i="1"/>
  <c r="F230" i="1"/>
  <c r="C230" i="1" s="1"/>
  <c r="E230" i="1"/>
  <c r="D229" i="1"/>
  <c r="M228" i="1"/>
  <c r="K228" i="1"/>
  <c r="K224" i="1" s="1"/>
  <c r="D228" i="1"/>
  <c r="D227" i="1"/>
  <c r="D226" i="1"/>
  <c r="O224" i="1"/>
  <c r="N224" i="1"/>
  <c r="M224" i="1"/>
  <c r="L224" i="1"/>
  <c r="J224" i="1"/>
  <c r="I224" i="1"/>
  <c r="H224" i="1"/>
  <c r="G224" i="1"/>
  <c r="F224" i="1"/>
  <c r="E224" i="1"/>
  <c r="D223" i="1"/>
  <c r="M222" i="1"/>
  <c r="D222" i="1"/>
  <c r="M221" i="1"/>
  <c r="D221" i="1"/>
  <c r="D220" i="1"/>
  <c r="O218" i="1"/>
  <c r="N218" i="1"/>
  <c r="L218" i="1"/>
  <c r="K218" i="1"/>
  <c r="J218" i="1"/>
  <c r="I218" i="1"/>
  <c r="H218" i="1"/>
  <c r="G218" i="1"/>
  <c r="F218" i="1"/>
  <c r="E218" i="1"/>
  <c r="D217" i="1"/>
  <c r="M216" i="1"/>
  <c r="K216" i="1"/>
  <c r="K212" i="1" s="1"/>
  <c r="H216" i="1"/>
  <c r="D216" i="1" s="1"/>
  <c r="M215" i="1"/>
  <c r="D215" i="1"/>
  <c r="D214" i="1"/>
  <c r="O212" i="1"/>
  <c r="N212" i="1"/>
  <c r="M212" i="1"/>
  <c r="L212" i="1"/>
  <c r="J212" i="1"/>
  <c r="I212" i="1"/>
  <c r="H212" i="1"/>
  <c r="G212" i="1"/>
  <c r="F212" i="1"/>
  <c r="E212" i="1"/>
  <c r="D212" i="1" s="1"/>
  <c r="K211" i="1"/>
  <c r="J211" i="1"/>
  <c r="I211" i="1"/>
  <c r="H211" i="1"/>
  <c r="G211" i="1"/>
  <c r="F211" i="1"/>
  <c r="F205" i="1" s="1"/>
  <c r="D205" i="1" s="1"/>
  <c r="E211" i="1"/>
  <c r="D211" i="1" s="1"/>
  <c r="O210" i="1"/>
  <c r="N210" i="1"/>
  <c r="K210" i="1"/>
  <c r="K204" i="1" s="1"/>
  <c r="J210" i="1"/>
  <c r="I210" i="1"/>
  <c r="H210" i="1"/>
  <c r="G210" i="1"/>
  <c r="F210" i="1"/>
  <c r="E210" i="1"/>
  <c r="K209" i="1"/>
  <c r="J209" i="1"/>
  <c r="I209" i="1"/>
  <c r="H209" i="1"/>
  <c r="G209" i="1"/>
  <c r="F209" i="1"/>
  <c r="E209" i="1"/>
  <c r="K208" i="1"/>
  <c r="J208" i="1"/>
  <c r="I208" i="1"/>
  <c r="I207" i="1" s="1"/>
  <c r="H208" i="1"/>
  <c r="G208" i="1"/>
  <c r="F208" i="1"/>
  <c r="E208" i="1"/>
  <c r="D208" i="1" s="1"/>
  <c r="O207" i="1"/>
  <c r="N207" i="1"/>
  <c r="K207" i="1"/>
  <c r="J207" i="1"/>
  <c r="H207" i="1"/>
  <c r="G207" i="1"/>
  <c r="K205" i="1"/>
  <c r="J205" i="1"/>
  <c r="I205" i="1"/>
  <c r="H205" i="1"/>
  <c r="G205" i="1"/>
  <c r="E205" i="1"/>
  <c r="O204" i="1"/>
  <c r="N204" i="1"/>
  <c r="J204" i="1"/>
  <c r="I204" i="1"/>
  <c r="H204" i="1"/>
  <c r="G204" i="1"/>
  <c r="F204" i="1"/>
  <c r="E204" i="1"/>
  <c r="O203" i="1"/>
  <c r="N203" i="1"/>
  <c r="L203" i="1"/>
  <c r="K203" i="1"/>
  <c r="J203" i="1"/>
  <c r="I203" i="1"/>
  <c r="H203" i="1"/>
  <c r="G203" i="1"/>
  <c r="F203" i="1"/>
  <c r="O202" i="1"/>
  <c r="O201" i="1" s="1"/>
  <c r="N202" i="1"/>
  <c r="M202" i="1"/>
  <c r="L202" i="1"/>
  <c r="K202" i="1"/>
  <c r="J202" i="1"/>
  <c r="I202" i="1"/>
  <c r="H202" i="1"/>
  <c r="G202" i="1"/>
  <c r="G201" i="1" s="1"/>
  <c r="E202" i="1"/>
  <c r="J201" i="1"/>
  <c r="H201" i="1"/>
  <c r="D199" i="1"/>
  <c r="M198" i="1"/>
  <c r="K198" i="1"/>
  <c r="H198" i="1"/>
  <c r="D197" i="1"/>
  <c r="D196" i="1"/>
  <c r="O194" i="1"/>
  <c r="N194" i="1"/>
  <c r="L194" i="1"/>
  <c r="K194" i="1"/>
  <c r="J194" i="1"/>
  <c r="I194" i="1"/>
  <c r="H194" i="1"/>
  <c r="G194" i="1"/>
  <c r="F194" i="1"/>
  <c r="E194" i="1"/>
  <c r="K193" i="1"/>
  <c r="J193" i="1"/>
  <c r="I193" i="1"/>
  <c r="I26" i="1" s="1"/>
  <c r="I20" i="1" s="1"/>
  <c r="H193" i="1"/>
  <c r="G193" i="1"/>
  <c r="F193" i="1"/>
  <c r="E193" i="1"/>
  <c r="O192" i="1"/>
  <c r="N192" i="1"/>
  <c r="N25" i="1" s="1"/>
  <c r="N19" i="1" s="1"/>
  <c r="L192" i="1"/>
  <c r="K192" i="1"/>
  <c r="J192" i="1"/>
  <c r="I192" i="1"/>
  <c r="H192" i="1"/>
  <c r="G192" i="1"/>
  <c r="F192" i="1"/>
  <c r="E192" i="1"/>
  <c r="K191" i="1"/>
  <c r="J191" i="1"/>
  <c r="I191" i="1"/>
  <c r="H191" i="1"/>
  <c r="G191" i="1"/>
  <c r="F191" i="1"/>
  <c r="E191" i="1"/>
  <c r="K190" i="1"/>
  <c r="J190" i="1"/>
  <c r="I190" i="1"/>
  <c r="H190" i="1"/>
  <c r="G190" i="1"/>
  <c r="F190" i="1"/>
  <c r="E190" i="1"/>
  <c r="O189" i="1"/>
  <c r="L189" i="1"/>
  <c r="K189" i="1"/>
  <c r="J189" i="1"/>
  <c r="E189" i="1"/>
  <c r="K187" i="1"/>
  <c r="J187" i="1"/>
  <c r="H187" i="1"/>
  <c r="G187" i="1"/>
  <c r="F187" i="1"/>
  <c r="E187" i="1"/>
  <c r="O186" i="1"/>
  <c r="L186" i="1"/>
  <c r="K186" i="1"/>
  <c r="K183" i="1" s="1"/>
  <c r="J186" i="1"/>
  <c r="I186" i="1"/>
  <c r="H186" i="1"/>
  <c r="G186" i="1"/>
  <c r="E186" i="1"/>
  <c r="K185" i="1"/>
  <c r="J185" i="1"/>
  <c r="I185" i="1"/>
  <c r="H185" i="1"/>
  <c r="F185" i="1"/>
  <c r="E185" i="1"/>
  <c r="K184" i="1"/>
  <c r="J184" i="1"/>
  <c r="I184" i="1"/>
  <c r="G184" i="1"/>
  <c r="F184" i="1"/>
  <c r="E184" i="1"/>
  <c r="A184" i="1"/>
  <c r="A185" i="1" s="1"/>
  <c r="A186" i="1" s="1"/>
  <c r="A187" i="1" s="1"/>
  <c r="A189" i="1" s="1"/>
  <c r="A190" i="1" s="1"/>
  <c r="A191" i="1" s="1"/>
  <c r="A192" i="1" s="1"/>
  <c r="A193" i="1" s="1"/>
  <c r="A194" i="1" s="1"/>
  <c r="A196" i="1" s="1"/>
  <c r="A197" i="1" s="1"/>
  <c r="A198" i="1" s="1"/>
  <c r="A199" i="1" s="1"/>
  <c r="A201" i="1" s="1"/>
  <c r="A202" i="1" s="1"/>
  <c r="A203" i="1" s="1"/>
  <c r="A204" i="1" s="1"/>
  <c r="A205" i="1" s="1"/>
  <c r="A207" i="1" s="1"/>
  <c r="A208" i="1" s="1"/>
  <c r="A209" i="1" s="1"/>
  <c r="A210" i="1" s="1"/>
  <c r="A211" i="1" s="1"/>
  <c r="A212" i="1" s="1"/>
  <c r="A214" i="1" s="1"/>
  <c r="A215" i="1" s="1"/>
  <c r="A216" i="1" s="1"/>
  <c r="A217" i="1" s="1"/>
  <c r="A218" i="1" s="1"/>
  <c r="A220" i="1" s="1"/>
  <c r="A221" i="1" s="1"/>
  <c r="A222" i="1" s="1"/>
  <c r="A223" i="1" s="1"/>
  <c r="A224" i="1" s="1"/>
  <c r="A226" i="1" s="1"/>
  <c r="A227" i="1" s="1"/>
  <c r="A228" i="1" s="1"/>
  <c r="A229" i="1" s="1"/>
  <c r="A230" i="1" s="1"/>
  <c r="A232" i="1" s="1"/>
  <c r="A233" i="1" s="1"/>
  <c r="A234" i="1" s="1"/>
  <c r="A235" i="1" s="1"/>
  <c r="A236" i="1" s="1"/>
  <c r="A237" i="1" s="1"/>
  <c r="A239" i="1" s="1"/>
  <c r="A240" i="1" s="1"/>
  <c r="A241" i="1" s="1"/>
  <c r="A242" i="1" s="1"/>
  <c r="A243" i="1" s="1"/>
  <c r="A245" i="1" s="1"/>
  <c r="A246" i="1" s="1"/>
  <c r="A247" i="1" s="1"/>
  <c r="A248" i="1" s="1"/>
  <c r="A249" i="1" s="1"/>
  <c r="A250" i="1" s="1"/>
  <c r="A252" i="1" s="1"/>
  <c r="A253" i="1" s="1"/>
  <c r="A254" i="1" s="1"/>
  <c r="A255" i="1" s="1"/>
  <c r="A256" i="1" s="1"/>
  <c r="A258" i="1" s="1"/>
  <c r="A259" i="1" s="1"/>
  <c r="A260" i="1" s="1"/>
  <c r="A261" i="1" s="1"/>
  <c r="A262" i="1" s="1"/>
  <c r="A264" i="1" s="1"/>
  <c r="A265" i="1" s="1"/>
  <c r="A266" i="1" s="1"/>
  <c r="A267" i="1" s="1"/>
  <c r="A268" i="1" s="1"/>
  <c r="A270" i="1" s="1"/>
  <c r="A271" i="1" s="1"/>
  <c r="A272" i="1" s="1"/>
  <c r="A273" i="1" s="1"/>
  <c r="A274" i="1" s="1"/>
  <c r="A275" i="1" s="1"/>
  <c r="A276" i="1" s="1"/>
  <c r="A278" i="1" s="1"/>
  <c r="A279" i="1" s="1"/>
  <c r="A280" i="1" s="1"/>
  <c r="A281" i="1" s="1"/>
  <c r="A283" i="1" s="1"/>
  <c r="A284" i="1" s="1"/>
  <c r="A285" i="1" s="1"/>
  <c r="A286" i="1" s="1"/>
  <c r="A287" i="1" s="1"/>
  <c r="A289" i="1" s="1"/>
  <c r="A290" i="1" s="1"/>
  <c r="A291" i="1" s="1"/>
  <c r="A292" i="1" s="1"/>
  <c r="A293" i="1" s="1"/>
  <c r="A294" i="1" s="1"/>
  <c r="A296" i="1" s="1"/>
  <c r="A297" i="1" s="1"/>
  <c r="A298" i="1" s="1"/>
  <c r="A299" i="1" s="1"/>
  <c r="A301" i="1" s="1"/>
  <c r="A302" i="1" s="1"/>
  <c r="A303" i="1" s="1"/>
  <c r="A304" i="1" s="1"/>
  <c r="A305" i="1" s="1"/>
  <c r="A307" i="1" s="1"/>
  <c r="A308" i="1" s="1"/>
  <c r="A309" i="1" s="1"/>
  <c r="A310" i="1" s="1"/>
  <c r="A311" i="1" s="1"/>
  <c r="A312" i="1" s="1"/>
  <c r="A314" i="1" s="1"/>
  <c r="A315" i="1" s="1"/>
  <c r="A316" i="1" s="1"/>
  <c r="A317" i="1" s="1"/>
  <c r="O183" i="1"/>
  <c r="L183" i="1"/>
  <c r="J183" i="1"/>
  <c r="D181" i="1"/>
  <c r="D180" i="1"/>
  <c r="D179" i="1"/>
  <c r="O178" i="1"/>
  <c r="N178" i="1"/>
  <c r="M178" i="1"/>
  <c r="L178" i="1"/>
  <c r="K178" i="1"/>
  <c r="I178" i="1"/>
  <c r="H178" i="1"/>
  <c r="D178" i="1" s="1"/>
  <c r="N177" i="1"/>
  <c r="M177" i="1"/>
  <c r="K177" i="1"/>
  <c r="D176" i="1"/>
  <c r="D175" i="1"/>
  <c r="O174" i="1"/>
  <c r="N174" i="1"/>
  <c r="M174" i="1"/>
  <c r="L174" i="1"/>
  <c r="I174" i="1"/>
  <c r="H174" i="1"/>
  <c r="D173" i="1"/>
  <c r="K172" i="1"/>
  <c r="D172" i="1"/>
  <c r="D171" i="1"/>
  <c r="K170" i="1"/>
  <c r="I170" i="1"/>
  <c r="H170" i="1"/>
  <c r="D170" i="1" s="1"/>
  <c r="M169" i="1"/>
  <c r="K169" i="1"/>
  <c r="D169" i="1" s="1"/>
  <c r="D168" i="1"/>
  <c r="D167" i="1"/>
  <c r="O166" i="1"/>
  <c r="N166" i="1"/>
  <c r="M166" i="1"/>
  <c r="L166" i="1"/>
  <c r="K166" i="1"/>
  <c r="D166" i="1" s="1"/>
  <c r="I166" i="1"/>
  <c r="H166" i="1"/>
  <c r="D165" i="1"/>
  <c r="D164" i="1"/>
  <c r="K162" i="1"/>
  <c r="I162" i="1"/>
  <c r="H162" i="1"/>
  <c r="D162" i="1"/>
  <c r="C161" i="1"/>
  <c r="C160" i="1"/>
  <c r="C159" i="1"/>
  <c r="D158" i="1"/>
  <c r="K156" i="1"/>
  <c r="J156" i="1"/>
  <c r="I156" i="1"/>
  <c r="H156" i="1"/>
  <c r="G156" i="1"/>
  <c r="F156" i="1"/>
  <c r="E156" i="1"/>
  <c r="C155" i="1"/>
  <c r="J154" i="1"/>
  <c r="J150" i="1" s="1"/>
  <c r="C154" i="1"/>
  <c r="C153" i="1"/>
  <c r="D152" i="1"/>
  <c r="O150" i="1"/>
  <c r="N150" i="1"/>
  <c r="M150" i="1"/>
  <c r="L150" i="1"/>
  <c r="K150" i="1"/>
  <c r="I150" i="1"/>
  <c r="H150" i="1"/>
  <c r="G150" i="1"/>
  <c r="F150" i="1"/>
  <c r="E150" i="1"/>
  <c r="M149" i="1"/>
  <c r="C149" i="1"/>
  <c r="A149" i="1"/>
  <c r="A150" i="1" s="1"/>
  <c r="A152" i="1" s="1"/>
  <c r="A153" i="1" s="1"/>
  <c r="A154" i="1" s="1"/>
  <c r="A155" i="1" s="1"/>
  <c r="A156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M148" i="1"/>
  <c r="L148" i="1"/>
  <c r="K148" i="1"/>
  <c r="I148" i="1"/>
  <c r="H148" i="1"/>
  <c r="C148" i="1" s="1"/>
  <c r="K147" i="1"/>
  <c r="I147" i="1"/>
  <c r="H147" i="1"/>
  <c r="C146" i="1"/>
  <c r="O144" i="1"/>
  <c r="N144" i="1"/>
  <c r="M144" i="1"/>
  <c r="L144" i="1"/>
  <c r="J144" i="1"/>
  <c r="I144" i="1"/>
  <c r="G144" i="1"/>
  <c r="F144" i="1"/>
  <c r="E144" i="1"/>
  <c r="O143" i="1"/>
  <c r="N143" i="1"/>
  <c r="M143" i="1"/>
  <c r="L143" i="1"/>
  <c r="K143" i="1"/>
  <c r="K137" i="1" s="1"/>
  <c r="J143" i="1"/>
  <c r="I143" i="1"/>
  <c r="H143" i="1"/>
  <c r="G143" i="1"/>
  <c r="F143" i="1"/>
  <c r="E143" i="1"/>
  <c r="A143" i="1"/>
  <c r="A144" i="1" s="1"/>
  <c r="A146" i="1" s="1"/>
  <c r="A147" i="1" s="1"/>
  <c r="A148" i="1" s="1"/>
  <c r="O142" i="1"/>
  <c r="O139" i="1" s="1"/>
  <c r="N142" i="1"/>
  <c r="M142" i="1"/>
  <c r="L142" i="1"/>
  <c r="J142" i="1"/>
  <c r="I142" i="1"/>
  <c r="H142" i="1"/>
  <c r="G142" i="1"/>
  <c r="G139" i="1" s="1"/>
  <c r="F142" i="1"/>
  <c r="E142" i="1"/>
  <c r="O141" i="1"/>
  <c r="N141" i="1"/>
  <c r="M141" i="1"/>
  <c r="L141" i="1"/>
  <c r="L135" i="1" s="1"/>
  <c r="L133" i="1" s="1"/>
  <c r="J141" i="1"/>
  <c r="J139" i="1" s="1"/>
  <c r="I141" i="1"/>
  <c r="G141" i="1"/>
  <c r="F141" i="1"/>
  <c r="E141" i="1"/>
  <c r="J140" i="1"/>
  <c r="I140" i="1"/>
  <c r="H140" i="1"/>
  <c r="G140" i="1"/>
  <c r="F140" i="1"/>
  <c r="E140" i="1"/>
  <c r="C140" i="1"/>
  <c r="A140" i="1"/>
  <c r="A141" i="1" s="1"/>
  <c r="A142" i="1" s="1"/>
  <c r="N139" i="1"/>
  <c r="I139" i="1"/>
  <c r="F139" i="1"/>
  <c r="A139" i="1"/>
  <c r="O137" i="1"/>
  <c r="N137" i="1"/>
  <c r="M137" i="1"/>
  <c r="L137" i="1"/>
  <c r="J137" i="1"/>
  <c r="I137" i="1"/>
  <c r="H137" i="1"/>
  <c r="G137" i="1"/>
  <c r="F137" i="1"/>
  <c r="E137" i="1"/>
  <c r="O136" i="1"/>
  <c r="N136" i="1"/>
  <c r="M136" i="1"/>
  <c r="L136" i="1"/>
  <c r="J136" i="1"/>
  <c r="J133" i="1" s="1"/>
  <c r="I136" i="1"/>
  <c r="G136" i="1"/>
  <c r="F136" i="1"/>
  <c r="E136" i="1"/>
  <c r="O135" i="1"/>
  <c r="N135" i="1"/>
  <c r="J135" i="1"/>
  <c r="I135" i="1"/>
  <c r="G135" i="1"/>
  <c r="F135" i="1"/>
  <c r="E135" i="1"/>
  <c r="O134" i="1"/>
  <c r="N134" i="1"/>
  <c r="M134" i="1"/>
  <c r="L134" i="1"/>
  <c r="K134" i="1"/>
  <c r="J134" i="1"/>
  <c r="I134" i="1"/>
  <c r="I133" i="1" s="1"/>
  <c r="H134" i="1"/>
  <c r="G134" i="1"/>
  <c r="F134" i="1"/>
  <c r="E134" i="1"/>
  <c r="O133" i="1"/>
  <c r="G133" i="1"/>
  <c r="D131" i="1"/>
  <c r="L130" i="1"/>
  <c r="L126" i="1" s="1"/>
  <c r="D129" i="1"/>
  <c r="D128" i="1"/>
  <c r="O126" i="1"/>
  <c r="N126" i="1"/>
  <c r="M126" i="1"/>
  <c r="K126" i="1"/>
  <c r="J126" i="1"/>
  <c r="I126" i="1"/>
  <c r="H126" i="1"/>
  <c r="G126" i="1"/>
  <c r="F126" i="1"/>
  <c r="E126" i="1"/>
  <c r="D126" i="1" s="1"/>
  <c r="D125" i="1"/>
  <c r="I124" i="1"/>
  <c r="D124" i="1"/>
  <c r="D123" i="1"/>
  <c r="D122" i="1"/>
  <c r="O120" i="1"/>
  <c r="N120" i="1"/>
  <c r="M120" i="1"/>
  <c r="L120" i="1"/>
  <c r="K120" i="1"/>
  <c r="J120" i="1"/>
  <c r="I120" i="1"/>
  <c r="H120" i="1"/>
  <c r="G120" i="1"/>
  <c r="F120" i="1"/>
  <c r="E120" i="1"/>
  <c r="O119" i="1"/>
  <c r="N119" i="1"/>
  <c r="M119" i="1"/>
  <c r="L119" i="1"/>
  <c r="K119" i="1"/>
  <c r="J119" i="1"/>
  <c r="I119" i="1"/>
  <c r="H119" i="1"/>
  <c r="G119" i="1"/>
  <c r="F119" i="1"/>
  <c r="E119" i="1"/>
  <c r="D119" i="1" s="1"/>
  <c r="O118" i="1"/>
  <c r="N118" i="1"/>
  <c r="M118" i="1"/>
  <c r="L118" i="1"/>
  <c r="K118" i="1"/>
  <c r="J118" i="1"/>
  <c r="I118" i="1"/>
  <c r="H118" i="1"/>
  <c r="G118" i="1"/>
  <c r="F118" i="1"/>
  <c r="D118" i="1" s="1"/>
  <c r="E118" i="1"/>
  <c r="O117" i="1"/>
  <c r="N117" i="1"/>
  <c r="M117" i="1"/>
  <c r="L117" i="1"/>
  <c r="K117" i="1"/>
  <c r="K115" i="1" s="1"/>
  <c r="J117" i="1"/>
  <c r="I117" i="1"/>
  <c r="H117" i="1"/>
  <c r="G117" i="1"/>
  <c r="F117" i="1"/>
  <c r="E117" i="1"/>
  <c r="O116" i="1"/>
  <c r="O115" i="1" s="1"/>
  <c r="N116" i="1"/>
  <c r="N115" i="1" s="1"/>
  <c r="M116" i="1"/>
  <c r="L116" i="1"/>
  <c r="K116" i="1"/>
  <c r="J116" i="1"/>
  <c r="I116" i="1"/>
  <c r="I115" i="1" s="1"/>
  <c r="H116" i="1"/>
  <c r="G116" i="1"/>
  <c r="G115" i="1" s="1"/>
  <c r="F116" i="1"/>
  <c r="D116" i="1" s="1"/>
  <c r="E116" i="1"/>
  <c r="M115" i="1"/>
  <c r="L115" i="1"/>
  <c r="J115" i="1"/>
  <c r="H115" i="1"/>
  <c r="E115" i="1"/>
  <c r="D113" i="1"/>
  <c r="D112" i="1"/>
  <c r="D111" i="1"/>
  <c r="O110" i="1"/>
  <c r="N110" i="1"/>
  <c r="M110" i="1"/>
  <c r="L110" i="1"/>
  <c r="K110" i="1"/>
  <c r="J110" i="1"/>
  <c r="D110" i="1" s="1"/>
  <c r="I110" i="1"/>
  <c r="H110" i="1"/>
  <c r="G110" i="1"/>
  <c r="F110" i="1"/>
  <c r="E110" i="1"/>
  <c r="D109" i="1"/>
  <c r="L108" i="1"/>
  <c r="K108" i="1"/>
  <c r="K104" i="1" s="1"/>
  <c r="J108" i="1"/>
  <c r="H108" i="1"/>
  <c r="L107" i="1"/>
  <c r="J107" i="1"/>
  <c r="D107" i="1" s="1"/>
  <c r="D106" i="1"/>
  <c r="O104" i="1"/>
  <c r="N104" i="1"/>
  <c r="M104" i="1"/>
  <c r="J104" i="1"/>
  <c r="I104" i="1"/>
  <c r="H104" i="1"/>
  <c r="G104" i="1"/>
  <c r="F104" i="1"/>
  <c r="E104" i="1"/>
  <c r="D103" i="1"/>
  <c r="D102" i="1"/>
  <c r="D101" i="1"/>
  <c r="D100" i="1"/>
  <c r="K98" i="1"/>
  <c r="J98" i="1"/>
  <c r="I98" i="1"/>
  <c r="H98" i="1"/>
  <c r="G98" i="1"/>
  <c r="F98" i="1"/>
  <c r="D98" i="1" s="1"/>
  <c r="E98" i="1"/>
  <c r="D97" i="1"/>
  <c r="D96" i="1"/>
  <c r="D95" i="1"/>
  <c r="D94" i="1"/>
  <c r="O92" i="1"/>
  <c r="N92" i="1"/>
  <c r="M92" i="1"/>
  <c r="L92" i="1"/>
  <c r="K92" i="1"/>
  <c r="J92" i="1"/>
  <c r="I92" i="1"/>
  <c r="H92" i="1"/>
  <c r="G92" i="1"/>
  <c r="F92" i="1"/>
  <c r="D92" i="1" s="1"/>
  <c r="E92" i="1"/>
  <c r="K91" i="1"/>
  <c r="J91" i="1"/>
  <c r="I91" i="1"/>
  <c r="H91" i="1"/>
  <c r="G91" i="1"/>
  <c r="F91" i="1"/>
  <c r="D91" i="1" s="1"/>
  <c r="E91" i="1"/>
  <c r="O90" i="1"/>
  <c r="N90" i="1"/>
  <c r="M90" i="1"/>
  <c r="K90" i="1"/>
  <c r="J90" i="1"/>
  <c r="J84" i="1" s="1"/>
  <c r="I90" i="1"/>
  <c r="H90" i="1"/>
  <c r="G90" i="1"/>
  <c r="F90" i="1"/>
  <c r="E90" i="1"/>
  <c r="L89" i="1"/>
  <c r="K89" i="1"/>
  <c r="I89" i="1"/>
  <c r="G89" i="1"/>
  <c r="F89" i="1"/>
  <c r="E89" i="1"/>
  <c r="K88" i="1"/>
  <c r="J88" i="1"/>
  <c r="I88" i="1"/>
  <c r="H88" i="1"/>
  <c r="H87" i="1" s="1"/>
  <c r="G88" i="1"/>
  <c r="G87" i="1" s="1"/>
  <c r="F88" i="1"/>
  <c r="E88" i="1"/>
  <c r="O87" i="1"/>
  <c r="N87" i="1"/>
  <c r="M87" i="1"/>
  <c r="E87" i="1"/>
  <c r="K85" i="1"/>
  <c r="J85" i="1"/>
  <c r="I85" i="1"/>
  <c r="H85" i="1"/>
  <c r="G85" i="1"/>
  <c r="E85" i="1"/>
  <c r="O84" i="1"/>
  <c r="N84" i="1"/>
  <c r="M84" i="1"/>
  <c r="K84" i="1"/>
  <c r="I84" i="1"/>
  <c r="H84" i="1"/>
  <c r="H72" i="1" s="1"/>
  <c r="G84" i="1"/>
  <c r="F84" i="1"/>
  <c r="E84" i="1"/>
  <c r="O83" i="1"/>
  <c r="N83" i="1"/>
  <c r="N30" i="1" s="1"/>
  <c r="M83" i="1"/>
  <c r="L83" i="1"/>
  <c r="L71" i="1" s="1"/>
  <c r="G83" i="1"/>
  <c r="F83" i="1"/>
  <c r="E83" i="1"/>
  <c r="N82" i="1"/>
  <c r="M82" i="1"/>
  <c r="M81" i="1" s="1"/>
  <c r="L82" i="1"/>
  <c r="K82" i="1"/>
  <c r="I82" i="1"/>
  <c r="H82" i="1"/>
  <c r="G82" i="1"/>
  <c r="G81" i="1" s="1"/>
  <c r="F82" i="1"/>
  <c r="E82" i="1"/>
  <c r="O81" i="1"/>
  <c r="O79" i="1"/>
  <c r="N79" i="1"/>
  <c r="M79" i="1"/>
  <c r="L79" i="1"/>
  <c r="K79" i="1"/>
  <c r="J79" i="1"/>
  <c r="I79" i="1"/>
  <c r="H79" i="1"/>
  <c r="H73" i="1" s="1"/>
  <c r="G79" i="1"/>
  <c r="E79" i="1"/>
  <c r="J78" i="1"/>
  <c r="H78" i="1"/>
  <c r="F78" i="1"/>
  <c r="D78" i="1"/>
  <c r="O77" i="1"/>
  <c r="N77" i="1"/>
  <c r="N71" i="1" s="1"/>
  <c r="M77" i="1"/>
  <c r="G77" i="1"/>
  <c r="F77" i="1"/>
  <c r="O76" i="1"/>
  <c r="O70" i="1" s="1"/>
  <c r="M76" i="1"/>
  <c r="M70" i="1" s="1"/>
  <c r="L76" i="1"/>
  <c r="K76" i="1"/>
  <c r="I76" i="1"/>
  <c r="G76" i="1"/>
  <c r="G70" i="1" s="1"/>
  <c r="G69" i="1" s="1"/>
  <c r="E76" i="1"/>
  <c r="K75" i="1"/>
  <c r="I75" i="1"/>
  <c r="K73" i="1"/>
  <c r="J73" i="1"/>
  <c r="I73" i="1"/>
  <c r="G73" i="1"/>
  <c r="E73" i="1"/>
  <c r="O72" i="1"/>
  <c r="N72" i="1"/>
  <c r="M72" i="1"/>
  <c r="K72" i="1"/>
  <c r="I72" i="1"/>
  <c r="G72" i="1"/>
  <c r="F72" i="1"/>
  <c r="E72" i="1"/>
  <c r="O71" i="1"/>
  <c r="M71" i="1"/>
  <c r="H71" i="1"/>
  <c r="G71" i="1"/>
  <c r="F71" i="1"/>
  <c r="L70" i="1"/>
  <c r="K70" i="1"/>
  <c r="I70" i="1"/>
  <c r="O69" i="1"/>
  <c r="M69" i="1"/>
  <c r="D67" i="1"/>
  <c r="L66" i="1"/>
  <c r="K66" i="1"/>
  <c r="C66" i="1" s="1"/>
  <c r="C65" i="1"/>
  <c r="D64" i="1"/>
  <c r="O63" i="1"/>
  <c r="N63" i="1"/>
  <c r="M63" i="1"/>
  <c r="L63" i="1"/>
  <c r="K63" i="1"/>
  <c r="J63" i="1"/>
  <c r="I63" i="1"/>
  <c r="D62" i="1"/>
  <c r="M61" i="1"/>
  <c r="L61" i="1"/>
  <c r="C61" i="1"/>
  <c r="C60" i="1"/>
  <c r="D59" i="1"/>
  <c r="O57" i="1"/>
  <c r="N57" i="1"/>
  <c r="M57" i="1"/>
  <c r="L57" i="1"/>
  <c r="K57" i="1"/>
  <c r="J57" i="1"/>
  <c r="I57" i="1"/>
  <c r="H57" i="1"/>
  <c r="G57" i="1"/>
  <c r="F57" i="1"/>
  <c r="E57" i="1"/>
  <c r="D56" i="1"/>
  <c r="C55" i="1"/>
  <c r="C54" i="1"/>
  <c r="D53" i="1"/>
  <c r="O51" i="1"/>
  <c r="N51" i="1"/>
  <c r="M51" i="1"/>
  <c r="L51" i="1"/>
  <c r="K51" i="1"/>
  <c r="J51" i="1"/>
  <c r="I51" i="1"/>
  <c r="H51" i="1"/>
  <c r="G51" i="1"/>
  <c r="F51" i="1"/>
  <c r="E51" i="1"/>
  <c r="C51" i="1" s="1"/>
  <c r="M50" i="1"/>
  <c r="D50" i="1"/>
  <c r="M49" i="1"/>
  <c r="L49" i="1"/>
  <c r="K49" i="1"/>
  <c r="J49" i="1"/>
  <c r="I49" i="1"/>
  <c r="H49" i="1"/>
  <c r="D48" i="1"/>
  <c r="D47" i="1"/>
  <c r="O45" i="1"/>
  <c r="N45" i="1"/>
  <c r="M45" i="1"/>
  <c r="L45" i="1"/>
  <c r="J45" i="1"/>
  <c r="H45" i="1"/>
  <c r="G45" i="1"/>
  <c r="F45" i="1"/>
  <c r="E45" i="1"/>
  <c r="O44" i="1"/>
  <c r="N44" i="1"/>
  <c r="M44" i="1"/>
  <c r="L44" i="1"/>
  <c r="K44" i="1"/>
  <c r="J44" i="1"/>
  <c r="J38" i="1" s="1"/>
  <c r="I44" i="1"/>
  <c r="H44" i="1"/>
  <c r="H38" i="1" s="1"/>
  <c r="G44" i="1"/>
  <c r="F44" i="1"/>
  <c r="E44" i="1"/>
  <c r="O43" i="1"/>
  <c r="N43" i="1"/>
  <c r="N37" i="1" s="1"/>
  <c r="M43" i="1"/>
  <c r="L43" i="1"/>
  <c r="L37" i="1" s="1"/>
  <c r="J43" i="1"/>
  <c r="H43" i="1"/>
  <c r="G43" i="1"/>
  <c r="F43" i="1"/>
  <c r="F37" i="1" s="1"/>
  <c r="E43" i="1"/>
  <c r="O42" i="1"/>
  <c r="N42" i="1"/>
  <c r="M42" i="1"/>
  <c r="L42" i="1"/>
  <c r="K42" i="1"/>
  <c r="J42" i="1"/>
  <c r="J36" i="1" s="1"/>
  <c r="I42" i="1"/>
  <c r="H42" i="1"/>
  <c r="H36" i="1" s="1"/>
  <c r="G42" i="1"/>
  <c r="F42" i="1"/>
  <c r="E42" i="1"/>
  <c r="D42" i="1" s="1"/>
  <c r="O41" i="1"/>
  <c r="O40" i="1" s="1"/>
  <c r="N41" i="1"/>
  <c r="M41" i="1"/>
  <c r="L41" i="1"/>
  <c r="K41" i="1"/>
  <c r="J41" i="1"/>
  <c r="I41" i="1"/>
  <c r="H41" i="1"/>
  <c r="G41" i="1"/>
  <c r="F41" i="1"/>
  <c r="E41" i="1"/>
  <c r="D41" i="1"/>
  <c r="M40" i="1"/>
  <c r="J40" i="1"/>
  <c r="G40" i="1"/>
  <c r="E40" i="1"/>
  <c r="O38" i="1"/>
  <c r="N38" i="1"/>
  <c r="M38" i="1"/>
  <c r="L38" i="1"/>
  <c r="K38" i="1"/>
  <c r="I38" i="1"/>
  <c r="G38" i="1"/>
  <c r="F38" i="1"/>
  <c r="D38" i="1" s="1"/>
  <c r="E38" i="1"/>
  <c r="O37" i="1"/>
  <c r="M37" i="1"/>
  <c r="J37" i="1"/>
  <c r="H37" i="1"/>
  <c r="G37" i="1"/>
  <c r="E37" i="1"/>
  <c r="O36" i="1"/>
  <c r="N36" i="1"/>
  <c r="M36" i="1"/>
  <c r="L36" i="1"/>
  <c r="K36" i="1"/>
  <c r="I36" i="1"/>
  <c r="G36" i="1"/>
  <c r="F36" i="1"/>
  <c r="D36" i="1" s="1"/>
  <c r="O35" i="1"/>
  <c r="O34" i="1" s="1"/>
  <c r="M35" i="1"/>
  <c r="K35" i="1"/>
  <c r="J35" i="1"/>
  <c r="I35" i="1"/>
  <c r="H35" i="1"/>
  <c r="G35" i="1"/>
  <c r="G34" i="1" s="1"/>
  <c r="E35" i="1"/>
  <c r="M34" i="1"/>
  <c r="E34" i="1"/>
  <c r="K32" i="1"/>
  <c r="J32" i="1"/>
  <c r="I32" i="1"/>
  <c r="H32" i="1"/>
  <c r="G32" i="1"/>
  <c r="E32" i="1"/>
  <c r="O31" i="1"/>
  <c r="N31" i="1"/>
  <c r="M31" i="1"/>
  <c r="K31" i="1"/>
  <c r="I31" i="1"/>
  <c r="H31" i="1"/>
  <c r="H19" i="1" s="1"/>
  <c r="G31" i="1"/>
  <c r="F31" i="1"/>
  <c r="E31" i="1"/>
  <c r="O30" i="1"/>
  <c r="M30" i="1"/>
  <c r="H30" i="1"/>
  <c r="H18" i="1" s="1"/>
  <c r="G30" i="1"/>
  <c r="G18" i="1" s="1"/>
  <c r="F30" i="1"/>
  <c r="E30" i="1"/>
  <c r="O29" i="1"/>
  <c r="M29" i="1"/>
  <c r="L29" i="1"/>
  <c r="K29" i="1"/>
  <c r="I29" i="1"/>
  <c r="G29" i="1"/>
  <c r="G28" i="1" s="1"/>
  <c r="E29" i="1"/>
  <c r="O28" i="1"/>
  <c r="M28" i="1"/>
  <c r="E28" i="1"/>
  <c r="O26" i="1"/>
  <c r="N26" i="1"/>
  <c r="M26" i="1"/>
  <c r="L26" i="1"/>
  <c r="G26" i="1"/>
  <c r="F26" i="1"/>
  <c r="E26" i="1"/>
  <c r="O25" i="1"/>
  <c r="J25" i="1"/>
  <c r="H25" i="1"/>
  <c r="G25" i="1"/>
  <c r="F25" i="1"/>
  <c r="O24" i="1"/>
  <c r="O18" i="1" s="1"/>
  <c r="O15" i="1" s="1"/>
  <c r="N24" i="1"/>
  <c r="N18" i="1" s="1"/>
  <c r="L24" i="1"/>
  <c r="J24" i="1"/>
  <c r="I24" i="1"/>
  <c r="H24" i="1"/>
  <c r="G24" i="1"/>
  <c r="F24" i="1"/>
  <c r="E24" i="1"/>
  <c r="K23" i="1"/>
  <c r="J23" i="1"/>
  <c r="I23" i="1"/>
  <c r="H23" i="1"/>
  <c r="G23" i="1"/>
  <c r="G22" i="1" s="1"/>
  <c r="F23" i="1"/>
  <c r="D23" i="1" s="1"/>
  <c r="E23" i="1"/>
  <c r="O20" i="1"/>
  <c r="N20" i="1"/>
  <c r="M20" i="1"/>
  <c r="L20" i="1"/>
  <c r="G20" i="1"/>
  <c r="E20" i="1"/>
  <c r="O19" i="1"/>
  <c r="F19" i="1"/>
  <c r="F18" i="1"/>
  <c r="E18" i="1"/>
  <c r="O17" i="1"/>
  <c r="M17" i="1"/>
  <c r="L17" i="1"/>
  <c r="K17" i="1"/>
  <c r="E17" i="1"/>
  <c r="J31" i="1" l="1"/>
  <c r="J19" i="1" s="1"/>
  <c r="J72" i="1"/>
  <c r="N15" i="1"/>
  <c r="E22" i="1"/>
  <c r="E19" i="1"/>
  <c r="D26" i="1"/>
  <c r="D137" i="1"/>
  <c r="D177" i="1"/>
  <c r="K174" i="1"/>
  <c r="D174" i="1" s="1"/>
  <c r="K142" i="1"/>
  <c r="K136" i="1" s="1"/>
  <c r="D210" i="1"/>
  <c r="H26" i="1"/>
  <c r="H20" i="1" s="1"/>
  <c r="H34" i="1"/>
  <c r="F87" i="1"/>
  <c r="D237" i="1"/>
  <c r="L236" i="1"/>
  <c r="L210" i="1" s="1"/>
  <c r="L30" i="1"/>
  <c r="H139" i="1"/>
  <c r="H136" i="1"/>
  <c r="C150" i="1"/>
  <c r="C156" i="1"/>
  <c r="F186" i="1"/>
  <c r="F189" i="1"/>
  <c r="M245" i="1"/>
  <c r="J241" i="1"/>
  <c r="D241" i="1" s="1"/>
  <c r="J245" i="1"/>
  <c r="H307" i="1"/>
  <c r="H302" i="1"/>
  <c r="H301" i="1" s="1"/>
  <c r="H133" i="1"/>
  <c r="G289" i="1"/>
  <c r="G284" i="1"/>
  <c r="G283" i="1" s="1"/>
  <c r="K87" i="1"/>
  <c r="K83" i="1"/>
  <c r="D224" i="1"/>
  <c r="F22" i="1"/>
  <c r="N22" i="1"/>
  <c r="J26" i="1"/>
  <c r="D43" i="1"/>
  <c r="C57" i="1"/>
  <c r="G75" i="1"/>
  <c r="J82" i="1"/>
  <c r="D120" i="1"/>
  <c r="C143" i="1"/>
  <c r="D190" i="1"/>
  <c r="K201" i="1"/>
  <c r="K45" i="1"/>
  <c r="K43" i="1"/>
  <c r="I87" i="1"/>
  <c r="I83" i="1"/>
  <c r="D248" i="1"/>
  <c r="E242" i="1"/>
  <c r="D242" i="1" s="1"/>
  <c r="G303" i="1"/>
  <c r="G301" i="1" s="1"/>
  <c r="G307" i="1"/>
  <c r="H40" i="1"/>
  <c r="D117" i="1"/>
  <c r="N186" i="1"/>
  <c r="N183" i="1" s="1"/>
  <c r="N189" i="1"/>
  <c r="G17" i="1"/>
  <c r="G15" i="1" s="1"/>
  <c r="G19" i="1"/>
  <c r="O22" i="1"/>
  <c r="K26" i="1"/>
  <c r="K20" i="1" s="1"/>
  <c r="L35" i="1"/>
  <c r="L34" i="1" s="1"/>
  <c r="L40" i="1"/>
  <c r="D63" i="1"/>
  <c r="M135" i="1"/>
  <c r="M133" i="1" s="1"/>
  <c r="M139" i="1"/>
  <c r="D191" i="1"/>
  <c r="G185" i="1"/>
  <c r="G189" i="1"/>
  <c r="J239" i="1"/>
  <c r="G245" i="1"/>
  <c r="G240" i="1"/>
  <c r="J283" i="1"/>
  <c r="K283" i="1"/>
  <c r="D292" i="1"/>
  <c r="E286" i="1"/>
  <c r="M286" i="1"/>
  <c r="M283" i="1" s="1"/>
  <c r="M289" i="1"/>
  <c r="I189" i="1"/>
  <c r="D193" i="1"/>
  <c r="I187" i="1"/>
  <c r="I183" i="1" s="1"/>
  <c r="F207" i="1"/>
  <c r="F202" i="1"/>
  <c r="F85" i="1"/>
  <c r="F81" i="1" s="1"/>
  <c r="K141" i="1"/>
  <c r="C147" i="1"/>
  <c r="K144" i="1"/>
  <c r="H22" i="1"/>
  <c r="J34" i="1"/>
  <c r="D44" i="1"/>
  <c r="D49" i="1"/>
  <c r="I45" i="1"/>
  <c r="D45" i="1" s="1"/>
  <c r="I43" i="1"/>
  <c r="D82" i="1"/>
  <c r="N29" i="1"/>
  <c r="N81" i="1"/>
  <c r="N76" i="1"/>
  <c r="N70" i="1" s="1"/>
  <c r="N69" i="1" s="1"/>
  <c r="D108" i="1"/>
  <c r="D134" i="1"/>
  <c r="N133" i="1"/>
  <c r="I201" i="1"/>
  <c r="M209" i="1"/>
  <c r="M218" i="1"/>
  <c r="D218" i="1" s="1"/>
  <c r="H245" i="1"/>
  <c r="C142" i="1"/>
  <c r="H81" i="1"/>
  <c r="H76" i="1"/>
  <c r="L104" i="1"/>
  <c r="D104" i="1" s="1"/>
  <c r="L90" i="1"/>
  <c r="D90" i="1" s="1"/>
  <c r="E133" i="1"/>
  <c r="D184" i="1"/>
  <c r="E183" i="1"/>
  <c r="M192" i="1"/>
  <c r="D192" i="1" s="1"/>
  <c r="D198" i="1"/>
  <c r="M194" i="1"/>
  <c r="D194" i="1" s="1"/>
  <c r="I17" i="1"/>
  <c r="H29" i="1"/>
  <c r="H28" i="1" s="1"/>
  <c r="F35" i="1"/>
  <c r="F40" i="1"/>
  <c r="N35" i="1"/>
  <c r="N34" i="1" s="1"/>
  <c r="N40" i="1"/>
  <c r="E70" i="1"/>
  <c r="F29" i="1"/>
  <c r="F17" i="1" s="1"/>
  <c r="F76" i="1"/>
  <c r="E77" i="1"/>
  <c r="D83" i="1"/>
  <c r="D88" i="1"/>
  <c r="H189" i="1"/>
  <c r="H184" i="1"/>
  <c r="H183" i="1" s="1"/>
  <c r="N201" i="1"/>
  <c r="E203" i="1"/>
  <c r="E207" i="1"/>
  <c r="D290" i="1"/>
  <c r="D291" i="1"/>
  <c r="F285" i="1"/>
  <c r="F283" i="1" s="1"/>
  <c r="F289" i="1"/>
  <c r="D294" i="1"/>
  <c r="D309" i="1"/>
  <c r="D310" i="1"/>
  <c r="F304" i="1"/>
  <c r="N304" i="1"/>
  <c r="N301" i="1" s="1"/>
  <c r="N307" i="1"/>
  <c r="J89" i="1"/>
  <c r="J83" i="1" s="1"/>
  <c r="F133" i="1"/>
  <c r="E245" i="1"/>
  <c r="D245" i="1" s="1"/>
  <c r="E284" i="1"/>
  <c r="K286" i="1"/>
  <c r="F287" i="1"/>
  <c r="D287" i="1" s="1"/>
  <c r="E289" i="1"/>
  <c r="D289" i="1" s="1"/>
  <c r="F302" i="1"/>
  <c r="E303" i="1"/>
  <c r="D303" i="1" s="1"/>
  <c r="L304" i="1"/>
  <c r="L301" i="1" s="1"/>
  <c r="F307" i="1"/>
  <c r="D307" i="1" s="1"/>
  <c r="H144" i="1"/>
  <c r="C144" i="1" s="1"/>
  <c r="O307" i="1"/>
  <c r="E81" i="1"/>
  <c r="F115" i="1"/>
  <c r="D115" i="1" s="1"/>
  <c r="L139" i="1"/>
  <c r="D130" i="1"/>
  <c r="E139" i="1"/>
  <c r="I302" i="1"/>
  <c r="I301" i="1" s="1"/>
  <c r="M203" i="1" l="1"/>
  <c r="M201" i="1" s="1"/>
  <c r="M207" i="1"/>
  <c r="M24" i="1"/>
  <c r="D304" i="1"/>
  <c r="H70" i="1"/>
  <c r="H69" i="1" s="1"/>
  <c r="H75" i="1"/>
  <c r="K71" i="1"/>
  <c r="K69" i="1" s="1"/>
  <c r="K81" i="1"/>
  <c r="K30" i="1"/>
  <c r="K28" i="1" s="1"/>
  <c r="L204" i="1"/>
  <c r="L207" i="1"/>
  <c r="D207" i="1" s="1"/>
  <c r="L25" i="1"/>
  <c r="K135" i="1"/>
  <c r="K139" i="1"/>
  <c r="C141" i="1"/>
  <c r="K24" i="1"/>
  <c r="M186" i="1"/>
  <c r="M183" i="1" s="1"/>
  <c r="M189" i="1"/>
  <c r="D189" i="1" s="1"/>
  <c r="M25" i="1"/>
  <c r="M19" i="1" s="1"/>
  <c r="G239" i="1"/>
  <c r="D240" i="1"/>
  <c r="D209" i="1"/>
  <c r="F70" i="1"/>
  <c r="D183" i="1"/>
  <c r="F201" i="1"/>
  <c r="D202" i="1"/>
  <c r="L18" i="1"/>
  <c r="D35" i="1"/>
  <c r="F34" i="1"/>
  <c r="I81" i="1"/>
  <c r="I30" i="1"/>
  <c r="I71" i="1"/>
  <c r="I69" i="1" s="1"/>
  <c r="J22" i="1"/>
  <c r="J20" i="1"/>
  <c r="D136" i="1"/>
  <c r="H17" i="1"/>
  <c r="H15" i="1" s="1"/>
  <c r="D77" i="1"/>
  <c r="E71" i="1"/>
  <c r="E69" i="1" s="1"/>
  <c r="E75" i="1"/>
  <c r="E283" i="1"/>
  <c r="D283" i="1" s="1"/>
  <c r="D284" i="1"/>
  <c r="F28" i="1"/>
  <c r="E239" i="1"/>
  <c r="D239" i="1" s="1"/>
  <c r="D285" i="1"/>
  <c r="N17" i="1"/>
  <c r="N28" i="1"/>
  <c r="F32" i="1"/>
  <c r="F79" i="1"/>
  <c r="F75" i="1" s="1"/>
  <c r="D85" i="1"/>
  <c r="J30" i="1"/>
  <c r="J18" i="1" s="1"/>
  <c r="J15" i="1" s="1"/>
  <c r="J71" i="1"/>
  <c r="D236" i="1"/>
  <c r="D286" i="1"/>
  <c r="G183" i="1"/>
  <c r="D185" i="1"/>
  <c r="J76" i="1"/>
  <c r="J29" i="1"/>
  <c r="D29" i="1" s="1"/>
  <c r="J81" i="1"/>
  <c r="D187" i="1"/>
  <c r="E301" i="1"/>
  <c r="E15" i="1"/>
  <c r="F183" i="1"/>
  <c r="D186" i="1"/>
  <c r="D203" i="1"/>
  <c r="E201" i="1"/>
  <c r="C139" i="1"/>
  <c r="F301" i="1"/>
  <c r="L84" i="1"/>
  <c r="L87" i="1"/>
  <c r="D89" i="1"/>
  <c r="I40" i="1"/>
  <c r="D40" i="1" s="1"/>
  <c r="I37" i="1"/>
  <c r="I25" i="1"/>
  <c r="K40" i="1"/>
  <c r="K37" i="1"/>
  <c r="K34" i="1" s="1"/>
  <c r="K25" i="1"/>
  <c r="K19" i="1" s="1"/>
  <c r="J87" i="1"/>
  <c r="D87" i="1" s="1"/>
  <c r="D302" i="1"/>
  <c r="L201" i="1" l="1"/>
  <c r="D201" i="1" s="1"/>
  <c r="D204" i="1"/>
  <c r="M18" i="1"/>
  <c r="M15" i="1" s="1"/>
  <c r="M22" i="1"/>
  <c r="K18" i="1"/>
  <c r="K15" i="1" s="1"/>
  <c r="K22" i="1"/>
  <c r="D24" i="1"/>
  <c r="L31" i="1"/>
  <c r="L72" i="1"/>
  <c r="D84" i="1"/>
  <c r="L81" i="1"/>
  <c r="D81" i="1" s="1"/>
  <c r="J75" i="1"/>
  <c r="D75" i="1" s="1"/>
  <c r="J70" i="1"/>
  <c r="D76" i="1"/>
  <c r="F20" i="1"/>
  <c r="D32" i="1"/>
  <c r="F69" i="1"/>
  <c r="J28" i="1"/>
  <c r="J17" i="1"/>
  <c r="D17" i="1" s="1"/>
  <c r="F73" i="1"/>
  <c r="D73" i="1" s="1"/>
  <c r="D79" i="1"/>
  <c r="I19" i="1"/>
  <c r="D25" i="1"/>
  <c r="I22" i="1"/>
  <c r="D22" i="1" s="1"/>
  <c r="D301" i="1"/>
  <c r="K133" i="1"/>
  <c r="D133" i="1" s="1"/>
  <c r="D135" i="1"/>
  <c r="I34" i="1"/>
  <c r="D34" i="1" s="1"/>
  <c r="D37" i="1"/>
  <c r="D71" i="1"/>
  <c r="I18" i="1"/>
  <c r="I28" i="1"/>
  <c r="D30" i="1"/>
  <c r="L22" i="1"/>
  <c r="D18" i="1" l="1"/>
  <c r="I15" i="1"/>
  <c r="L69" i="1"/>
  <c r="D69" i="1" s="1"/>
  <c r="D72" i="1"/>
  <c r="D31" i="1"/>
  <c r="L28" i="1"/>
  <c r="D28" i="1" s="1"/>
  <c r="J69" i="1"/>
  <c r="D70" i="1"/>
  <c r="D20" i="1"/>
  <c r="F15" i="1"/>
  <c r="L19" i="1"/>
  <c r="L15" i="1" s="1"/>
  <c r="D19" i="1"/>
  <c r="D15" i="1" s="1"/>
</calcChain>
</file>

<file path=xl/sharedStrings.xml><?xml version="1.0" encoding="utf-8"?>
<sst xmlns="http://schemas.openxmlformats.org/spreadsheetml/2006/main" count="570" uniqueCount="106">
  <si>
    <t>Приложение № 2</t>
  </si>
  <si>
    <t>к постановлению администрации городского округа</t>
  </si>
  <si>
    <t xml:space="preserve">Нижняя Салда  </t>
  </si>
  <si>
    <t>Приложение № 2 к муниципальной Программе</t>
  </si>
  <si>
    <t xml:space="preserve">«Развитие физической культуры, спорта и молодежной </t>
  </si>
  <si>
    <t>политики в городском округе Нижняя Салда до 2024 года»</t>
  </si>
  <si>
    <t xml:space="preserve">План мероприятий муниципальной программы </t>
  </si>
  <si>
    <t>«Развитие физической культуры, спорта и молодежной политики в городском округе Нижняя Салда до 2024 года»</t>
  </si>
  <si>
    <t>№ строки</t>
  </si>
  <si>
    <t>Наименование мероприятия/Источники расходов на финансирование подпрограмм</t>
  </si>
  <si>
    <t>Объемы расходов на выполнение мероприятия за счет источников ресурсного обеспечения, руб.</t>
  </si>
  <si>
    <t>Номер строки целевого показателя, на достижение которого направлены мероприятия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</si>
  <si>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</si>
  <si>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</si>
  <si>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</si>
  <si>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</si>
  <si>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</si>
  <si>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</si>
  <si>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</si>
  <si>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</si>
  <si>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</si>
  <si>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</si>
  <si>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</si>
  <si>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</si>
  <si>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ВСЕГО по муниципальной Программе,</t>
  </si>
  <si>
    <t>X</t>
  </si>
  <si>
    <t>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</si>
  <si>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</si>
  <si>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</si>
  <si>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</si>
  <si>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</si>
  <si>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Прочие нужды</t>
  </si>
  <si>
    <t>Х</t>
  </si>
  <si>
    <t>Капитальные вложения</t>
  </si>
  <si>
    <t>17,18,19</t>
  </si>
  <si>
    <t>Подпрограмма 1. «Развитие физической культуры и спорта в городском округе Нижняя Салда»</t>
  </si>
  <si>
    <t>ВСЕГО по Подпрограмме 1 муниципальной Программы, в том числе:</t>
  </si>
  <si>
    <t xml:space="preserve">Мероприятие 1 </t>
  </si>
  <si>
    <t>4,5,6,8,9,11</t>
  </si>
  <si>
    <t>Организация, предоставления услуг (выполнения работ) в сфере физической культуры и спорта</t>
  </si>
  <si>
    <t>Мероприятие 2.</t>
  </si>
  <si>
    <t>Погашение кредиторской задолженности прошлых лет:</t>
  </si>
  <si>
    <t>Мероприятие 3.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</si>
  <si>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</si>
  <si>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Мероприятие 4. Ремонт зданий(помещений), спортивных сооружений МБУ "СОК"</t>
  </si>
  <si>
    <t>Подпрограмма 2. «Развитие инфраструктуры спортивных сооружений городского округа Нижняя Салда»</t>
  </si>
  <si>
    <t>ВСЕГО по Подпрограмме 2 муниципальной Программы, в том числе:</t>
  </si>
  <si>
    <t>федеральный  бюджет</t>
  </si>
  <si>
    <t xml:space="preserve"> 1. Капитальные вложения</t>
  </si>
  <si>
    <t>Всего по направлению "Капитальные вложения", в том числе</t>
  </si>
  <si>
    <t>1.1. Бюджетные инвестиции в объекты капитального строительства</t>
  </si>
  <si>
    <t>Бюджетные инвестиции в объекты капитального строительства, ВСЕГО, в том числе</t>
  </si>
  <si>
    <t>Мероприятие 1.</t>
  </si>
  <si>
    <t>Развитие инфраструктуры спортивных сооружений</t>
  </si>
  <si>
    <t>17,18,19,20</t>
  </si>
  <si>
    <t xml:space="preserve"> Разработка проектно-сметной документации на строительство физкультурно-оздоровительного комплекса</t>
  </si>
  <si>
    <t xml:space="preserve">Мероприятие 3. </t>
  </si>
  <si>
    <t>Строительство лыжной базы</t>
  </si>
  <si>
    <t>Мероприятие 4. Разработка проектно-сметной документации на строительство спортивного объекта</t>
  </si>
  <si>
    <t>федералный бюджет</t>
  </si>
  <si>
    <t>1.2. Прочие нужды</t>
  </si>
  <si>
    <t xml:space="preserve">Мероприятие 5. </t>
  </si>
  <si>
    <t>Создание спортивной площадки (оснащение спортивным оборудованием)</t>
  </si>
  <si>
    <t xml:space="preserve">Мероприятие 6. </t>
  </si>
  <si>
    <t>Выполнение работ, оказание услуг, приобретение материалов не учтенных проектом по мероприятию строительство лыжной базы</t>
  </si>
  <si>
    <t>Подпрограмма 3. «Развитие образования в сфере физической культуры и спорта в городском округе Нижняя Салда»</t>
  </si>
  <si>
    <t>ВСЕГО по Подпрограмме 3 муниципальной Программы, в том числе: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</si>
  <si>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направленности.</t>
  </si>
  <si>
    <t>Развитие материально-технической базы для дополнительного образования детей детско-юношеской спортивной школы</t>
  </si>
  <si>
    <t>Мероприятие 4. 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 (ДЮСШ)</t>
  </si>
  <si>
    <t>Мероприятие 5. Проведение антитеррористических мероприятий</t>
  </si>
  <si>
    <t>Мероприятие 6.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</si>
  <si>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Мероприятие 7. Ремонт зданий (помещений), приведение в соответствии с требованиями пожарной безопасности МБУ ДО ДЮСШ</t>
  </si>
  <si>
    <t>Мероприятие 8. Строительство площадок уличного применения</t>
  </si>
  <si>
    <t>Подпрограмма 4. «Развитие потенциала молодёжи в городском округе Нижняя Салда»</t>
  </si>
  <si>
    <t>ВСЕГО по Подпрограмме 4 муниципальной Программы, в том числе:</t>
  </si>
  <si>
    <t>37,38,42,44,45,58</t>
  </si>
  <si>
    <t>Обеспечение осуществления мероприятий по работе с молодежью. ВСЕГО, в том числе:</t>
  </si>
  <si>
    <t>Подпрограмма 5. «Обеспечение реализации муниципальной программы «Развитие физической культуры, спорта и молодежной политики в городском округе Нижняя Салда до 2024 года»</t>
  </si>
  <si>
    <t>ВСЕГО по Подпрограмме 5 муниципальной Программы, в том числе:</t>
  </si>
  <si>
    <t>49,50,51</t>
  </si>
  <si>
    <t xml:space="preserve">Обеспечение деятельности аппарата управления молодежной политики и спорта </t>
  </si>
  <si>
    <t>49,50,51,53</t>
  </si>
  <si>
    <t>Обеспечение деятельности МКУ "ЦБУМПиС"</t>
  </si>
  <si>
    <t>Городские мероприятия в сфере спорта в том числе:</t>
  </si>
  <si>
    <t>Мероприятие 4.</t>
  </si>
  <si>
    <t xml:space="preserve">Мероприятие5. Субсидии социально-ориентированным некоммерческим организациям </t>
  </si>
  <si>
    <t>Подпрограмма 6.  «Патриотическое воспитание граждан в городском округе Нижняя Салда»</t>
  </si>
  <si>
    <t>ВСЕГО по Подпрограмме 6 муниципальной Программы, в том числе:</t>
  </si>
  <si>
    <t>54,57,58,59</t>
  </si>
  <si>
    <t>Патриотическое воспитание граждан. Организация участия и проведения учебных сборов. ВСЕГО, в том числе:</t>
  </si>
  <si>
    <t>Оплата расходов, связанных с участием  граждан  в возрасте от 14 до 18 лет в военно-спортивных играх и оборонно-спортивных оздоровительных лагерях на территории Свердловской области. ВСЕГО, в том числе:</t>
  </si>
  <si>
    <t>Приобретение оборудования и инвентаря для организаций, занимающихся патриотическим воспитанием  и допризывной подготовкой к военной службе. ВСЕГО, в том числе:</t>
  </si>
  <si>
    <t>54,58,59</t>
  </si>
  <si>
    <t>Обеспечение осуществления мероприятий по патриотическому воспитанию граждан. ВСЕГО, в том числе:</t>
  </si>
  <si>
    <t>"Субсидии некоммерческим организациям (за исключением государственных(муниципальных учреждений)</t>
  </si>
  <si>
    <t>Мероприятие 1. Оказание услуг при проведение мероприятий патриотической направленности</t>
  </si>
  <si>
    <t>Мероприятие 5.</t>
  </si>
  <si>
    <t>организация и проведение мероприятий по профилактике экстремизма и терроризма в молодежной сфере. ВСЕГО, в том числе:</t>
  </si>
  <si>
    <t>Подпрограмма 7. «Развитие добровольческого (волонтерского) движения в городском округе Нижняя Салда»</t>
  </si>
  <si>
    <t>ВСЕГО по Подпрограмме 7 муниципальной Программы, в том числе:</t>
  </si>
  <si>
    <t>Организация, и проведение мероприятий по поощрению добровольческого (волонтерского) движения в городском округе Нижняя Салда. ВСЕГО, в том числе:</t>
  </si>
  <si>
    <t>Подпрограмма 8. «Развитие сети учреждений по работе с молодежью в городском округе Нижняя Салда»</t>
  </si>
  <si>
    <t>ВСЕГО по Подпрограмме 8 муниципальной Программы, в том числе:</t>
  </si>
  <si>
    <t>Создание спортивных площадок (оснащение спортивным оборудованием) для занятий уличной гимнастикой. ВСЕГО, в том числе:</t>
  </si>
  <si>
    <t>от 09.01.2023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</si>
</sst>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</font>
    <font>
      <sz val="9"/>
      <color rgb="FF000000"/>
      <name val="Calibri"/>
    </font>
    <font>
      <sz val="9"/>
      <name val="Calibri"/>
    </font>
    <font>
      <sz val="9"/>
      <color rgb="FFFF0000"/>
      <name val="Calibri"/>
    </font>
    <font>
      <sz val="14"/>
      <color rgb="FF000000"/>
      <name val="Calibri"/>
    </font>
    <font>
      <sz val="14"/>
      <name val="Times New Roman"/>
    </font>
    <font>
      <sz val="14"/>
      <name val="Calibri"/>
    </font>
    <font>
      <sz val="12"/>
      <name val="Times New Roman"/>
    </font>
    <font>
      <sz val="9"/>
      <color rgb="FF000000"/>
      <name val="Liberation Serif"/>
    </font>
    <font>
      <b/>
      <sz val="13"/>
      <name val="Liberation Serif"/>
    </font>
    <font>
      <sz val="13"/>
      <name val="Liberation Serif"/>
    </font>
    <font>
      <sz val="9"/>
      <color rgb="FFFF0000"/>
      <name val="Liberation Serif"/>
    </font>
    <font>
      <b/>
      <sz val="9"/>
      <color rgb="FF000000"/>
      <name val="Liberation Serif"/>
    </font>
    <font>
      <sz val="9"/>
      <name val="Liberation Serif"/>
    </font>
    <font>
      <sz val="14"/>
      <color rgb="FF000000"/>
      <name val="Liberation Serif"/>
    </font>
    <font>
      <b/>
      <sz val="14"/>
      <name val="Liberation Serif"/>
    </font>
    <font>
      <sz val="12"/>
      <name val="Liberation Serif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none"/>
    </fill>
    <fill>
      <patternFill patternType="solid">
        <fgColor rgb="FFFFFF00"/>
      </patternFill>
    </fill>
    <fill>
      <patternFill patternType="solid">
        <fgColor theme="0"/>
      </patternFill>
    </fill>
    <fill>
      <patternFill patternType="solid">
        <fgColor rgb="FF99CCFF"/>
      </patternFill>
    </fill>
    <fill>
      <patternFill patternType="solid">
        <fgColor rgb="FFFFFF9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2" borderId="0" xfId="0" applyNumberFormat="1" applyFont="1" applyFill="1" applyAlignment="1">
      <alignment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2" borderId="0" xfId="0" applyNumberFormat="1" applyFont="1" applyFill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horizontal="center" vertical="center" wrapText="1"/>
    </xf>
    <xf numFmtId="0" fontId="7" fillId="2" borderId="0" xfId="0" applyNumberFormat="1" applyFont="1" applyFill="1" applyAlignment="1">
      <alignment horizontal="right" vertical="center" wrapText="1"/>
    </xf>
    <xf numFmtId="0" fontId="7" fillId="0" borderId="0" xfId="0" applyNumberFormat="1" applyFont="1" applyAlignment="1">
      <alignment horizontal="right" vertical="center" wrapText="1"/>
    </xf>
    <xf numFmtId="0" fontId="7" fillId="3" borderId="0" xfId="0" applyNumberFormat="1" applyFont="1" applyFill="1" applyAlignment="1">
      <alignment horizontal="right" vertical="center" wrapText="1"/>
    </xf>
    <xf numFmtId="0" fontId="8" fillId="0" borderId="0" xfId="0" applyNumberFormat="1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9" fillId="0" borderId="9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Border="1" applyAlignment="1">
      <alignment vertical="center" wrapText="1"/>
    </xf>
    <xf numFmtId="0" fontId="9" fillId="0" borderId="12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8" fillId="4" borderId="0" xfId="0" applyNumberFormat="1" applyFont="1" applyFill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8" fillId="6" borderId="0" xfId="0" applyNumberFormat="1" applyFont="1" applyFill="1" applyAlignment="1">
      <alignment horizontal="center" vertical="center"/>
    </xf>
    <xf numFmtId="0" fontId="11" fillId="6" borderId="0" xfId="0" applyNumberFormat="1" applyFont="1" applyFill="1" applyAlignment="1">
      <alignment horizontal="center" vertical="center"/>
    </xf>
    <xf numFmtId="0" fontId="10" fillId="0" borderId="18" xfId="0" applyNumberFormat="1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0" fontId="8" fillId="3" borderId="0" xfId="0" applyNumberFormat="1" applyFont="1" applyFill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7" borderId="0" xfId="0" applyNumberFormat="1" applyFont="1" applyFill="1" applyAlignment="1">
      <alignment horizontal="center" vertical="center"/>
    </xf>
    <xf numFmtId="4" fontId="10" fillId="0" borderId="5" xfId="0" applyNumberFormat="1" applyFont="1" applyBorder="1" applyAlignment="1">
      <alignment horizontal="right" vertical="center" wrapText="1"/>
    </xf>
    <xf numFmtId="0" fontId="13" fillId="0" borderId="0" xfId="0" applyNumberFormat="1" applyFont="1" applyAlignment="1">
      <alignment horizontal="center" vertical="center"/>
    </xf>
    <xf numFmtId="4" fontId="10" fillId="2" borderId="7" xfId="0" applyNumberFormat="1" applyFont="1" applyFill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left" vertical="top" wrapText="1"/>
    </xf>
    <xf numFmtId="4" fontId="10" fillId="0" borderId="18" xfId="0" applyNumberFormat="1" applyFont="1" applyBorder="1" applyAlignment="1">
      <alignment horizontal="right" vertical="center"/>
    </xf>
    <xf numFmtId="4" fontId="10" fillId="3" borderId="7" xfId="0" applyNumberFormat="1" applyFont="1" applyFill="1" applyBorder="1" applyAlignment="1">
      <alignment horizontal="right" vertical="center"/>
    </xf>
    <xf numFmtId="0" fontId="10" fillId="0" borderId="18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0" fontId="10" fillId="0" borderId="1" xfId="0" applyNumberFormat="1" applyFont="1" applyBorder="1" applyAlignment="1">
      <alignment horizontal="left" wrapText="1"/>
    </xf>
    <xf numFmtId="3" fontId="10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left" vertical="center" wrapText="1"/>
    </xf>
    <xf numFmtId="0" fontId="9" fillId="3" borderId="6" xfId="0" applyNumberFormat="1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horizontal="right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3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left" vertical="center" wrapText="1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horizontal="righ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4" fontId="9" fillId="5" borderId="4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top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10" fillId="3" borderId="4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left" vertical="center" wrapText="1"/>
    </xf>
    <xf numFmtId="0" fontId="9" fillId="3" borderId="14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7"/>
  <sheetViews>
    <sheetView tabSelected="1" topLeftCell="I1" workbookViewId="0">
      <selection activeCell="N4" sqref="N4:P4"/>
    </sheetView>
  </sheetViews>
  <sheetFormatPr defaultColWidth="9.109375" defaultRowHeight="12" x14ac:dyDescent="0.3"/>
  <cols>
    <col min="1" max="1" width="5.88671875" style="2" customWidth="1"/>
    <col min="2" max="2" width="33.88671875" style="2" customWidth="1"/>
    <col min="3" max="3" width="0.44140625" style="2" hidden="1" customWidth="1"/>
    <col min="4" max="4" width="19.44140625" style="2" customWidth="1"/>
    <col min="5" max="5" width="18" style="2" customWidth="1"/>
    <col min="6" max="6" width="18.33203125" style="2" customWidth="1"/>
    <col min="7" max="7" width="18.109375" style="2" customWidth="1"/>
    <col min="8" max="8" width="18.5546875" style="3" customWidth="1"/>
    <col min="9" max="9" width="18" style="3" customWidth="1"/>
    <col min="10" max="10" width="19.6640625" style="2" customWidth="1"/>
    <col min="11" max="11" width="21" style="4" customWidth="1"/>
    <col min="12" max="12" width="21" style="2" customWidth="1"/>
    <col min="13" max="13" width="21" style="5" customWidth="1"/>
    <col min="14" max="15" width="21" style="2" customWidth="1"/>
    <col min="16" max="16" width="20.5546875" style="2" customWidth="1"/>
    <col min="17" max="17" width="9.109375" style="1" customWidth="1"/>
    <col min="18" max="16384" width="9.109375" style="1"/>
  </cols>
  <sheetData>
    <row r="1" spans="1:16" s="6" customFormat="1" ht="20.100000000000001" customHeight="1" x14ac:dyDescent="0.3">
      <c r="A1" s="7"/>
      <c r="B1" s="7"/>
      <c r="C1" s="7"/>
      <c r="D1" s="7"/>
      <c r="E1" s="7"/>
      <c r="F1" s="7"/>
      <c r="G1" s="7"/>
      <c r="H1" s="8"/>
      <c r="I1" s="9"/>
      <c r="J1" s="10"/>
      <c r="K1" s="10"/>
      <c r="L1" s="11"/>
      <c r="M1" s="12"/>
      <c r="N1" s="117" t="s">
        <v>0</v>
      </c>
      <c r="O1" s="117"/>
      <c r="P1" s="117"/>
    </row>
    <row r="2" spans="1:16" s="6" customFormat="1" ht="20.100000000000001" customHeight="1" x14ac:dyDescent="0.3">
      <c r="A2" s="7"/>
      <c r="B2" s="7"/>
      <c r="C2" s="7"/>
      <c r="D2" s="7"/>
      <c r="E2" s="7"/>
      <c r="F2" s="7"/>
      <c r="G2" s="7"/>
      <c r="H2" s="8"/>
      <c r="I2" s="9"/>
      <c r="J2" s="10"/>
      <c r="K2" s="10"/>
      <c r="L2" s="11"/>
      <c r="M2" s="12"/>
      <c r="N2" s="117" t="s">
        <v>1</v>
      </c>
      <c r="O2" s="117"/>
      <c r="P2" s="117"/>
    </row>
    <row r="3" spans="1:16" s="6" customFormat="1" ht="20.100000000000001" customHeight="1" x14ac:dyDescent="0.3">
      <c r="A3" s="7"/>
      <c r="B3" s="7"/>
      <c r="C3" s="7"/>
      <c r="D3" s="7"/>
      <c r="E3" s="7"/>
      <c r="F3" s="7"/>
      <c r="G3" s="7"/>
      <c r="H3" s="8"/>
      <c r="I3" s="9"/>
      <c r="J3" s="10"/>
      <c r="K3" s="10"/>
      <c r="L3" s="11"/>
      <c r="M3" s="12"/>
      <c r="N3" s="117" t="s">
        <v>2</v>
      </c>
      <c r="O3" s="117"/>
      <c r="P3" s="117"/>
    </row>
    <row r="4" spans="1:16" s="6" customFormat="1" ht="20.100000000000001" customHeight="1" x14ac:dyDescent="0.3">
      <c r="A4" s="13"/>
      <c r="B4" s="13"/>
      <c r="C4" s="13"/>
      <c r="D4" s="13"/>
      <c r="E4" s="13"/>
      <c r="F4" s="13"/>
      <c r="G4" s="13"/>
      <c r="H4" s="8"/>
      <c r="I4" s="14"/>
      <c r="J4" s="13"/>
      <c r="K4" s="13"/>
      <c r="L4" s="11"/>
      <c r="M4" s="12"/>
      <c r="N4" s="118" t="s">
        <v>105</v>
      </c>
      <c r="O4" s="118"/>
      <c r="P4" s="118"/>
    </row>
    <row r="5" spans="1:16" s="6" customFormat="1" ht="20.100000000000001" customHeight="1" x14ac:dyDescent="0.3">
      <c r="A5" s="13"/>
      <c r="B5" s="13"/>
      <c r="C5" s="13"/>
      <c r="D5" s="13"/>
      <c r="E5" s="13"/>
      <c r="F5" s="13"/>
      <c r="G5" s="13"/>
      <c r="H5" s="8"/>
      <c r="I5" s="14"/>
      <c r="J5" s="13"/>
      <c r="K5" s="13"/>
      <c r="L5" s="11"/>
      <c r="M5" s="12"/>
      <c r="N5" s="15"/>
      <c r="O5" s="15"/>
      <c r="P5" s="15"/>
    </row>
    <row r="6" spans="1:16" s="6" customFormat="1" ht="20.100000000000001" customHeight="1" x14ac:dyDescent="0.3">
      <c r="A6" s="16"/>
      <c r="B6" s="16"/>
      <c r="C6" s="16"/>
      <c r="D6" s="16"/>
      <c r="E6" s="16"/>
      <c r="F6" s="16"/>
      <c r="G6" s="16"/>
      <c r="H6" s="8"/>
      <c r="I6" s="17"/>
      <c r="J6" s="18"/>
      <c r="K6" s="18"/>
      <c r="L6" s="11"/>
      <c r="M6" s="12"/>
      <c r="N6" s="119" t="s">
        <v>3</v>
      </c>
      <c r="O6" s="119"/>
      <c r="P6" s="119"/>
    </row>
    <row r="7" spans="1:16" s="6" customFormat="1" ht="20.100000000000001" customHeight="1" x14ac:dyDescent="0.3">
      <c r="A7" s="16"/>
      <c r="B7" s="16"/>
      <c r="C7" s="16"/>
      <c r="D7" s="16"/>
      <c r="E7" s="16"/>
      <c r="F7" s="16"/>
      <c r="G7" s="16"/>
      <c r="H7" s="8"/>
      <c r="I7" s="17"/>
      <c r="J7" s="18"/>
      <c r="K7" s="18"/>
      <c r="L7" s="11"/>
      <c r="M7" s="12"/>
      <c r="N7" s="119" t="s">
        <v>4</v>
      </c>
      <c r="O7" s="119"/>
      <c r="P7" s="119"/>
    </row>
    <row r="8" spans="1:16" s="6" customFormat="1" ht="20.100000000000001" customHeight="1" x14ac:dyDescent="0.3">
      <c r="A8" s="16"/>
      <c r="B8" s="16"/>
      <c r="C8" s="16"/>
      <c r="D8" s="16"/>
      <c r="E8" s="16"/>
      <c r="F8" s="16"/>
      <c r="G8" s="16"/>
      <c r="H8" s="8"/>
      <c r="I8" s="17"/>
      <c r="J8" s="18"/>
      <c r="K8" s="18"/>
      <c r="L8" s="11"/>
      <c r="M8" s="12"/>
      <c r="N8" s="119" t="s">
        <v>5</v>
      </c>
      <c r="O8" s="119"/>
      <c r="P8" s="119"/>
    </row>
    <row r="9" spans="1:16" ht="15.75" customHeight="1" x14ac:dyDescent="0.3">
      <c r="A9" s="19"/>
      <c r="B9" s="19"/>
      <c r="C9" s="19"/>
      <c r="D9" s="19"/>
      <c r="E9" s="19"/>
      <c r="F9" s="19"/>
      <c r="G9" s="19"/>
      <c r="H9" s="20"/>
      <c r="I9" s="20"/>
      <c r="J9" s="21"/>
      <c r="K9" s="21"/>
      <c r="L9" s="21"/>
      <c r="M9" s="22"/>
      <c r="N9" s="21"/>
      <c r="O9" s="21"/>
      <c r="P9" s="21"/>
    </row>
    <row r="10" spans="1:16" s="23" customFormat="1" ht="16.5" customHeight="1" x14ac:dyDescent="0.3">
      <c r="A10" s="122" t="s">
        <v>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</row>
    <row r="11" spans="1:16" s="23" customFormat="1" ht="18" customHeight="1" x14ac:dyDescent="0.3">
      <c r="A11" s="122" t="s">
        <v>7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s="23" customFormat="1" ht="90" customHeight="1" x14ac:dyDescent="0.3">
      <c r="A12" s="81" t="s">
        <v>8</v>
      </c>
      <c r="B12" s="81" t="s">
        <v>9</v>
      </c>
      <c r="C12" s="24"/>
      <c r="D12" s="81" t="s">
        <v>10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  <c r="P12" s="81" t="s">
        <v>11</v>
      </c>
    </row>
    <row r="13" spans="1:16" s="23" customFormat="1" ht="27" customHeight="1" x14ac:dyDescent="0.3">
      <c r="A13" s="82"/>
      <c r="B13" s="82"/>
      <c r="C13" s="24"/>
      <c r="D13" s="24" t="s">
        <v>12</v>
      </c>
      <c r="E13" s="24" t="s">
        <v>13</v>
      </c>
      <c r="F13" s="24" t="s">
        <v>14</v>
      </c>
      <c r="G13" s="24" t="s">
        <v>15</v>
      </c>
      <c r="H13" s="25" t="s">
        <v>16</v>
      </c>
      <c r="I13" s="25" t="s">
        <v>17</v>
      </c>
      <c r="J13" s="24" t="s">
        <v>18</v>
      </c>
      <c r="K13" s="24" t="s">
        <v>19</v>
      </c>
      <c r="L13" s="24" t="s">
        <v>20</v>
      </c>
      <c r="M13" s="26" t="s">
        <v>21</v>
      </c>
      <c r="N13" s="24" t="s">
        <v>22</v>
      </c>
      <c r="O13" s="24" t="s">
        <v>23</v>
      </c>
      <c r="P13" s="82"/>
    </row>
    <row r="14" spans="1:16" s="23" customFormat="1" ht="16.8" x14ac:dyDescent="0.3">
      <c r="A14" s="24">
        <v>1</v>
      </c>
      <c r="B14" s="125">
        <v>2</v>
      </c>
      <c r="C14" s="126"/>
      <c r="D14" s="24">
        <v>3</v>
      </c>
      <c r="E14" s="24">
        <v>4</v>
      </c>
      <c r="F14" s="24">
        <v>5</v>
      </c>
      <c r="G14" s="24">
        <v>6</v>
      </c>
      <c r="H14" s="25">
        <v>7</v>
      </c>
      <c r="I14" s="25">
        <v>8</v>
      </c>
      <c r="J14" s="24">
        <v>9</v>
      </c>
      <c r="K14" s="24">
        <v>10</v>
      </c>
      <c r="L14" s="24">
        <v>11</v>
      </c>
      <c r="M14" s="26">
        <v>12</v>
      </c>
      <c r="N14" s="24">
        <v>13</v>
      </c>
      <c r="O14" s="24">
        <v>14</v>
      </c>
      <c r="P14" s="24">
        <v>15</v>
      </c>
    </row>
    <row r="15" spans="1:16" s="23" customFormat="1" ht="50.25" customHeight="1" x14ac:dyDescent="0.3">
      <c r="A15" s="83">
        <v>1</v>
      </c>
      <c r="B15" s="28" t="s">
        <v>24</v>
      </c>
      <c r="C15" s="29"/>
      <c r="D15" s="103">
        <f>D19+D18+D20</f>
        <v>332609371.20000005</v>
      </c>
      <c r="E15" s="120">
        <f>SUM(E17:E20)</f>
        <v>14511418</v>
      </c>
      <c r="F15" s="120">
        <f>SUM(F17:F20)</f>
        <v>15620059.830000002</v>
      </c>
      <c r="G15" s="120">
        <f>SUM(G17:G20)</f>
        <v>17716061</v>
      </c>
      <c r="H15" s="120">
        <f>SUM(H17:H20)</f>
        <v>18566365</v>
      </c>
      <c r="I15" s="120">
        <f>SUM(I17:I20)</f>
        <v>38927118</v>
      </c>
      <c r="J15" s="120">
        <f>J19+J18</f>
        <v>50320545.049999997</v>
      </c>
      <c r="K15" s="120">
        <f>K19+K18+K20</f>
        <v>32137701.880000003</v>
      </c>
      <c r="L15" s="120">
        <f>L19+L18+L20</f>
        <v>52281643.439999998</v>
      </c>
      <c r="M15" s="127">
        <f>M19+M18+M20</f>
        <v>30774829</v>
      </c>
      <c r="N15" s="120">
        <f>N19+N18+N20</f>
        <v>30676862</v>
      </c>
      <c r="O15" s="120">
        <f>O19+O18+O20</f>
        <v>31076768</v>
      </c>
      <c r="P15" s="81" t="s">
        <v>25</v>
      </c>
    </row>
    <row r="16" spans="1:16" s="23" customFormat="1" ht="20.25" customHeight="1" x14ac:dyDescent="0.3">
      <c r="A16" s="84"/>
      <c r="B16" s="33" t="s">
        <v>26</v>
      </c>
      <c r="C16" s="34"/>
      <c r="D16" s="104"/>
      <c r="E16" s="121"/>
      <c r="F16" s="121"/>
      <c r="G16" s="121"/>
      <c r="H16" s="121"/>
      <c r="I16" s="121"/>
      <c r="J16" s="121"/>
      <c r="K16" s="121"/>
      <c r="L16" s="121"/>
      <c r="M16" s="128"/>
      <c r="N16" s="121"/>
      <c r="O16" s="121"/>
      <c r="P16" s="82"/>
    </row>
    <row r="17" spans="1:28" s="23" customFormat="1" ht="16.8" x14ac:dyDescent="0.3">
      <c r="A17" s="24">
        <v>2</v>
      </c>
      <c r="B17" s="93" t="s">
        <v>27</v>
      </c>
      <c r="C17" s="94"/>
      <c r="D17" s="31">
        <f>SUM(E17:O17)</f>
        <v>0</v>
      </c>
      <c r="E17" s="31">
        <f t="shared" ref="E17:O17" si="0">E23+E29</f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2">
        <f t="shared" si="0"/>
        <v>0</v>
      </c>
      <c r="N17" s="31">
        <f t="shared" si="0"/>
        <v>0</v>
      </c>
      <c r="O17" s="31">
        <f t="shared" si="0"/>
        <v>0</v>
      </c>
      <c r="P17" s="24" t="s">
        <v>25</v>
      </c>
    </row>
    <row r="18" spans="1:28" s="23" customFormat="1" ht="16.8" x14ac:dyDescent="0.3">
      <c r="A18" s="24">
        <v>3</v>
      </c>
      <c r="B18" s="95" t="s">
        <v>28</v>
      </c>
      <c r="C18" s="96"/>
      <c r="D18" s="31">
        <f>SUM(E18:O18)</f>
        <v>63318258.719999999</v>
      </c>
      <c r="E18" s="31">
        <f t="shared" ref="E18:O18" si="1">E24+E30</f>
        <v>162900</v>
      </c>
      <c r="F18" s="31">
        <f t="shared" si="1"/>
        <v>91000</v>
      </c>
      <c r="G18" s="31">
        <f t="shared" si="1"/>
        <v>87200</v>
      </c>
      <c r="H18" s="31">
        <f t="shared" si="1"/>
        <v>474609</v>
      </c>
      <c r="I18" s="31">
        <f t="shared" si="1"/>
        <v>13135538</v>
      </c>
      <c r="J18" s="31">
        <f t="shared" si="1"/>
        <v>22493451.84</v>
      </c>
      <c r="K18" s="31">
        <f t="shared" si="1"/>
        <v>4907965.4400000004</v>
      </c>
      <c r="L18" s="31">
        <f t="shared" si="1"/>
        <v>21447965.440000001</v>
      </c>
      <c r="M18" s="32">
        <f t="shared" si="1"/>
        <v>517629</v>
      </c>
      <c r="N18" s="31">
        <f t="shared" si="1"/>
        <v>0</v>
      </c>
      <c r="O18" s="31">
        <f t="shared" si="1"/>
        <v>0</v>
      </c>
      <c r="P18" s="24" t="s">
        <v>25</v>
      </c>
    </row>
    <row r="19" spans="1:28" s="23" customFormat="1" ht="16.8" x14ac:dyDescent="0.3">
      <c r="A19" s="24">
        <v>4</v>
      </c>
      <c r="B19" s="95" t="s">
        <v>29</v>
      </c>
      <c r="C19" s="96"/>
      <c r="D19" s="31">
        <f>SUM(E19:O19)</f>
        <v>268567112.48000002</v>
      </c>
      <c r="E19" s="31">
        <f t="shared" ref="E19:O19" si="2">E25+E31</f>
        <v>14348518</v>
      </c>
      <c r="F19" s="31">
        <f t="shared" si="2"/>
        <v>15529059.830000002</v>
      </c>
      <c r="G19" s="31">
        <f t="shared" si="2"/>
        <v>17628861</v>
      </c>
      <c r="H19" s="31">
        <f t="shared" si="2"/>
        <v>18091756</v>
      </c>
      <c r="I19" s="31">
        <f t="shared" si="2"/>
        <v>25791580</v>
      </c>
      <c r="J19" s="31">
        <f t="shared" si="2"/>
        <v>27827093.210000001</v>
      </c>
      <c r="K19" s="31">
        <f t="shared" si="2"/>
        <v>27092736.440000001</v>
      </c>
      <c r="L19" s="31">
        <f t="shared" si="2"/>
        <v>30711678</v>
      </c>
      <c r="M19" s="32">
        <f t="shared" si="2"/>
        <v>30036200</v>
      </c>
      <c r="N19" s="31">
        <f t="shared" si="2"/>
        <v>30554862</v>
      </c>
      <c r="O19" s="31">
        <f t="shared" si="2"/>
        <v>30954768</v>
      </c>
      <c r="P19" s="24" t="s">
        <v>25</v>
      </c>
    </row>
    <row r="20" spans="1:28" s="23" customFormat="1" ht="16.8" x14ac:dyDescent="0.3">
      <c r="A20" s="24">
        <v>5</v>
      </c>
      <c r="B20" s="95" t="s">
        <v>30</v>
      </c>
      <c r="C20" s="96"/>
      <c r="D20" s="31">
        <f>SUM(E20:O20)</f>
        <v>724000</v>
      </c>
      <c r="E20" s="31">
        <f t="shared" ref="E20:O20" si="3">E26+E32</f>
        <v>0</v>
      </c>
      <c r="F20" s="31">
        <f t="shared" si="3"/>
        <v>0</v>
      </c>
      <c r="G20" s="31">
        <f t="shared" si="3"/>
        <v>0</v>
      </c>
      <c r="H20" s="31">
        <f t="shared" si="3"/>
        <v>0</v>
      </c>
      <c r="I20" s="31">
        <f t="shared" si="3"/>
        <v>0</v>
      </c>
      <c r="J20" s="31">
        <f t="shared" si="3"/>
        <v>0</v>
      </c>
      <c r="K20" s="31">
        <f t="shared" si="3"/>
        <v>137000</v>
      </c>
      <c r="L20" s="31">
        <f t="shared" si="3"/>
        <v>122000</v>
      </c>
      <c r="M20" s="32">
        <f t="shared" si="3"/>
        <v>221000</v>
      </c>
      <c r="N20" s="31">
        <f t="shared" si="3"/>
        <v>122000</v>
      </c>
      <c r="O20" s="31">
        <f t="shared" si="3"/>
        <v>122000</v>
      </c>
      <c r="P20" s="24" t="s">
        <v>25</v>
      </c>
    </row>
    <row r="21" spans="1:28" s="23" customFormat="1" ht="16.8" x14ac:dyDescent="0.3">
      <c r="A21" s="113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0"/>
    </row>
    <row r="22" spans="1:28" s="23" customFormat="1" ht="16.8" x14ac:dyDescent="0.3">
      <c r="A22" s="36">
        <v>6</v>
      </c>
      <c r="B22" s="36" t="s">
        <v>31</v>
      </c>
      <c r="C22" s="36"/>
      <c r="D22" s="30">
        <f>SUM(E22:O22)</f>
        <v>250463815.26999998</v>
      </c>
      <c r="E22" s="30">
        <f t="shared" ref="E22:O22" si="4">SUM(E23:E26)</f>
        <v>14468856</v>
      </c>
      <c r="F22" s="30">
        <f t="shared" si="4"/>
        <v>15620059.830000002</v>
      </c>
      <c r="G22" s="30">
        <f t="shared" si="4"/>
        <v>16641202.5</v>
      </c>
      <c r="H22" s="30">
        <f t="shared" si="4"/>
        <v>17936661</v>
      </c>
      <c r="I22" s="30">
        <f t="shared" si="4"/>
        <v>23504818</v>
      </c>
      <c r="J22" s="30">
        <f t="shared" si="4"/>
        <v>20454613.210000001</v>
      </c>
      <c r="K22" s="30">
        <f t="shared" si="4"/>
        <v>23416362.690000001</v>
      </c>
      <c r="L22" s="30">
        <f t="shared" si="4"/>
        <v>25892783.039999999</v>
      </c>
      <c r="M22" s="37">
        <f t="shared" si="4"/>
        <v>30774829</v>
      </c>
      <c r="N22" s="30">
        <f t="shared" si="4"/>
        <v>30676862</v>
      </c>
      <c r="O22" s="30">
        <f t="shared" si="4"/>
        <v>31076768</v>
      </c>
      <c r="P22" s="24" t="s">
        <v>32</v>
      </c>
    </row>
    <row r="23" spans="1:28" s="23" customFormat="1" ht="16.8" x14ac:dyDescent="0.3">
      <c r="A23" s="24">
        <v>7</v>
      </c>
      <c r="B23" s="95" t="s">
        <v>27</v>
      </c>
      <c r="C23" s="96"/>
      <c r="D23" s="30">
        <f>SUM(E23:O23)</f>
        <v>0</v>
      </c>
      <c r="E23" s="31">
        <f t="shared" ref="E23:K23" si="5">E41+E140+E190+E208+E246</f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1">
        <f t="shared" si="5"/>
        <v>0</v>
      </c>
      <c r="K23" s="31">
        <f t="shared" si="5"/>
        <v>0</v>
      </c>
      <c r="L23" s="31">
        <v>0</v>
      </c>
      <c r="M23" s="32">
        <v>0</v>
      </c>
      <c r="N23" s="31">
        <v>0</v>
      </c>
      <c r="O23" s="30">
        <v>0</v>
      </c>
      <c r="P23" s="24" t="s">
        <v>32</v>
      </c>
    </row>
    <row r="24" spans="1:28" s="23" customFormat="1" ht="16.8" x14ac:dyDescent="0.3">
      <c r="A24" s="24">
        <v>8</v>
      </c>
      <c r="B24" s="95" t="s">
        <v>28</v>
      </c>
      <c r="C24" s="96"/>
      <c r="D24" s="30">
        <f>SUM(E24:O24)</f>
        <v>2696976</v>
      </c>
      <c r="E24" s="31">
        <f t="shared" ref="E24:G26" si="6">E42+E141+E191+E209+E247</f>
        <v>162900</v>
      </c>
      <c r="F24" s="31">
        <f t="shared" si="6"/>
        <v>91000</v>
      </c>
      <c r="G24" s="31">
        <f t="shared" si="6"/>
        <v>87200</v>
      </c>
      <c r="H24" s="31">
        <f>H42+H141+H191+H247+H209+H71</f>
        <v>474609</v>
      </c>
      <c r="I24" s="31">
        <f>I42+I141+I191+I209+I247+I77</f>
        <v>785538</v>
      </c>
      <c r="J24" s="31">
        <f>J42+J141+J191+J209+J247</f>
        <v>127600</v>
      </c>
      <c r="K24" s="31">
        <f>K42+K141+K191+K209+K247+K77</f>
        <v>320100</v>
      </c>
      <c r="L24" s="31">
        <f>L42+L141+L191+L209+L247+L77</f>
        <v>130400</v>
      </c>
      <c r="M24" s="32">
        <f>M42+M141+M191+M209+M247+M77</f>
        <v>517629</v>
      </c>
      <c r="N24" s="31">
        <f>N42+N141+N191+N209+N247+N77</f>
        <v>0</v>
      </c>
      <c r="O24" s="31">
        <f>O42+O141+O191+O209+O247+O77</f>
        <v>0</v>
      </c>
      <c r="P24" s="24" t="s">
        <v>32</v>
      </c>
    </row>
    <row r="25" spans="1:28" s="23" customFormat="1" ht="16.8" x14ac:dyDescent="0.3">
      <c r="A25" s="24">
        <v>9</v>
      </c>
      <c r="B25" s="95" t="s">
        <v>29</v>
      </c>
      <c r="C25" s="96"/>
      <c r="D25" s="30">
        <f>SUM(E25:O25)</f>
        <v>247042839.26999998</v>
      </c>
      <c r="E25" s="31">
        <f t="shared" si="6"/>
        <v>14305956</v>
      </c>
      <c r="F25" s="31">
        <f t="shared" si="6"/>
        <v>15529059.830000002</v>
      </c>
      <c r="G25" s="31">
        <f t="shared" si="6"/>
        <v>16554002.5</v>
      </c>
      <c r="H25" s="31">
        <f>H43+H142+H192+H210+H248+H78</f>
        <v>17462052</v>
      </c>
      <c r="I25" s="31">
        <f>I43+I142+I192+I210+I248+I78</f>
        <v>22719280</v>
      </c>
      <c r="J25" s="31">
        <f>J43+J78+J142+J192+J210+J248</f>
        <v>20327013.210000001</v>
      </c>
      <c r="K25" s="31">
        <f>K43+K78+K142+K192+K210+K248</f>
        <v>22959262.690000001</v>
      </c>
      <c r="L25" s="31">
        <f>L43+L78+L142+L192+L210+L248</f>
        <v>25640383.039999999</v>
      </c>
      <c r="M25" s="32">
        <f>M43+M78+M142+M192+M210+M248+M292+M310</f>
        <v>30036200</v>
      </c>
      <c r="N25" s="31">
        <f>N43+N78+N142+N192+N210+N248+N292+N310</f>
        <v>30554862</v>
      </c>
      <c r="O25" s="31">
        <f>O43+O78+O142+O192+O210+O248+O292+O310</f>
        <v>30954768</v>
      </c>
      <c r="P25" s="24" t="s">
        <v>32</v>
      </c>
    </row>
    <row r="26" spans="1:28" s="23" customFormat="1" ht="16.8" x14ac:dyDescent="0.3">
      <c r="A26" s="24">
        <v>10</v>
      </c>
      <c r="B26" s="95" t="s">
        <v>30</v>
      </c>
      <c r="C26" s="96"/>
      <c r="D26" s="30">
        <f>SUM(E26:O26)</f>
        <v>724000</v>
      </c>
      <c r="E26" s="31">
        <f t="shared" si="6"/>
        <v>0</v>
      </c>
      <c r="F26" s="31">
        <f t="shared" si="6"/>
        <v>0</v>
      </c>
      <c r="G26" s="31">
        <f t="shared" si="6"/>
        <v>0</v>
      </c>
      <c r="H26" s="31">
        <f t="shared" ref="H26:O26" si="7">H44+H143+H193+H211+H249</f>
        <v>0</v>
      </c>
      <c r="I26" s="31">
        <f t="shared" si="7"/>
        <v>0</v>
      </c>
      <c r="J26" s="31">
        <f t="shared" si="7"/>
        <v>0</v>
      </c>
      <c r="K26" s="31">
        <f t="shared" si="7"/>
        <v>137000</v>
      </c>
      <c r="L26" s="31">
        <f t="shared" si="7"/>
        <v>122000</v>
      </c>
      <c r="M26" s="32">
        <f t="shared" si="7"/>
        <v>221000</v>
      </c>
      <c r="N26" s="31">
        <f t="shared" si="7"/>
        <v>122000</v>
      </c>
      <c r="O26" s="31">
        <f t="shared" si="7"/>
        <v>122000</v>
      </c>
      <c r="P26" s="24" t="s">
        <v>32</v>
      </c>
    </row>
    <row r="27" spans="1:28" s="23" customFormat="1" ht="16.8" x14ac:dyDescent="0.3">
      <c r="A27" s="97" t="s">
        <v>33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98"/>
    </row>
    <row r="28" spans="1:28" s="23" customFormat="1" ht="16.8" x14ac:dyDescent="0.3">
      <c r="A28" s="24">
        <v>11</v>
      </c>
      <c r="B28" s="36" t="s">
        <v>33</v>
      </c>
      <c r="C28" s="24"/>
      <c r="D28" s="30">
        <f>SUM(E28:O28)</f>
        <v>82145555.930000007</v>
      </c>
      <c r="E28" s="30">
        <f t="shared" ref="E28:O28" si="8">SUM(E29:E32)</f>
        <v>42562</v>
      </c>
      <c r="F28" s="30">
        <f t="shared" si="8"/>
        <v>0</v>
      </c>
      <c r="G28" s="30">
        <f t="shared" si="8"/>
        <v>1074858.5</v>
      </c>
      <c r="H28" s="30">
        <f t="shared" si="8"/>
        <v>629704</v>
      </c>
      <c r="I28" s="30">
        <f t="shared" si="8"/>
        <v>15422300</v>
      </c>
      <c r="J28" s="30">
        <f t="shared" si="8"/>
        <v>29865931.84</v>
      </c>
      <c r="K28" s="30">
        <f t="shared" si="8"/>
        <v>8721339.1900000013</v>
      </c>
      <c r="L28" s="30">
        <f t="shared" si="8"/>
        <v>26388860.400000002</v>
      </c>
      <c r="M28" s="37">
        <f t="shared" si="8"/>
        <v>0</v>
      </c>
      <c r="N28" s="30">
        <f t="shared" si="8"/>
        <v>0</v>
      </c>
      <c r="O28" s="30">
        <f t="shared" si="8"/>
        <v>0</v>
      </c>
      <c r="P28" s="81" t="s">
        <v>34</v>
      </c>
    </row>
    <row r="29" spans="1:28" s="23" customFormat="1" ht="16.8" x14ac:dyDescent="0.3">
      <c r="A29" s="24">
        <v>12</v>
      </c>
      <c r="B29" s="95" t="s">
        <v>27</v>
      </c>
      <c r="C29" s="96"/>
      <c r="D29" s="30">
        <f>SUM(E29:O29)</f>
        <v>0</v>
      </c>
      <c r="E29" s="31">
        <f t="shared" ref="E29:O29" si="9">E82</f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2">
        <f t="shared" si="9"/>
        <v>0</v>
      </c>
      <c r="N29" s="31">
        <f t="shared" si="9"/>
        <v>0</v>
      </c>
      <c r="O29" s="31">
        <f t="shared" si="9"/>
        <v>0</v>
      </c>
      <c r="P29" s="82"/>
    </row>
    <row r="30" spans="1:28" s="38" customFormat="1" ht="16.8" x14ac:dyDescent="0.3">
      <c r="A30" s="24">
        <v>13</v>
      </c>
      <c r="B30" s="95" t="s">
        <v>28</v>
      </c>
      <c r="C30" s="96"/>
      <c r="D30" s="30">
        <f>SUM(E30:O30)</f>
        <v>60621282.719999999</v>
      </c>
      <c r="E30" s="31">
        <f t="shared" ref="E30:O30" si="10">E83</f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12350000</v>
      </c>
      <c r="J30" s="31">
        <f t="shared" si="10"/>
        <v>22365851.84</v>
      </c>
      <c r="K30" s="31">
        <f t="shared" si="10"/>
        <v>4587865.4400000004</v>
      </c>
      <c r="L30" s="31">
        <f t="shared" si="10"/>
        <v>21317565.440000001</v>
      </c>
      <c r="M30" s="32">
        <f t="shared" si="10"/>
        <v>0</v>
      </c>
      <c r="N30" s="31">
        <f t="shared" si="10"/>
        <v>0</v>
      </c>
      <c r="O30" s="31">
        <f t="shared" si="10"/>
        <v>0</v>
      </c>
      <c r="P30" s="24" t="s">
        <v>25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s="23" customFormat="1" ht="16.8" x14ac:dyDescent="0.3">
      <c r="A31" s="24">
        <v>14</v>
      </c>
      <c r="B31" s="95" t="s">
        <v>29</v>
      </c>
      <c r="C31" s="96"/>
      <c r="D31" s="30">
        <f>E31+F31+G31+H31+I31+J31+K31+L31+M31+N31+O31</f>
        <v>21524273.210000001</v>
      </c>
      <c r="E31" s="31">
        <f t="shared" ref="E31:O31" si="11">E84</f>
        <v>42562</v>
      </c>
      <c r="F31" s="31">
        <f t="shared" si="11"/>
        <v>0</v>
      </c>
      <c r="G31" s="31">
        <f t="shared" si="11"/>
        <v>1074858.5</v>
      </c>
      <c r="H31" s="31">
        <f t="shared" si="11"/>
        <v>629704</v>
      </c>
      <c r="I31" s="31">
        <f t="shared" si="11"/>
        <v>3072300</v>
      </c>
      <c r="J31" s="31">
        <f t="shared" si="11"/>
        <v>7500080</v>
      </c>
      <c r="K31" s="31">
        <f t="shared" si="11"/>
        <v>4133473.75</v>
      </c>
      <c r="L31" s="31">
        <f t="shared" si="11"/>
        <v>5071294.96</v>
      </c>
      <c r="M31" s="32">
        <f t="shared" si="11"/>
        <v>0</v>
      </c>
      <c r="N31" s="31">
        <f t="shared" si="11"/>
        <v>0</v>
      </c>
      <c r="O31" s="31">
        <f t="shared" si="11"/>
        <v>0</v>
      </c>
      <c r="P31" s="24" t="s">
        <v>25</v>
      </c>
    </row>
    <row r="32" spans="1:28" s="23" customFormat="1" ht="16.8" x14ac:dyDescent="0.3">
      <c r="A32" s="24">
        <v>15</v>
      </c>
      <c r="B32" s="95" t="s">
        <v>30</v>
      </c>
      <c r="C32" s="96"/>
      <c r="D32" s="30">
        <f>SUM(E32:O32)</f>
        <v>0</v>
      </c>
      <c r="E32" s="31">
        <f t="shared" ref="E32:K32" si="12">E85</f>
        <v>0</v>
      </c>
      <c r="F32" s="31">
        <f t="shared" si="12"/>
        <v>0</v>
      </c>
      <c r="G32" s="31">
        <f t="shared" si="12"/>
        <v>0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1">
        <f t="shared" si="12"/>
        <v>0</v>
      </c>
      <c r="L32" s="31">
        <v>0</v>
      </c>
      <c r="M32" s="32">
        <v>0</v>
      </c>
      <c r="N32" s="31">
        <v>0</v>
      </c>
      <c r="O32" s="31">
        <v>0</v>
      </c>
      <c r="P32" s="24" t="s">
        <v>25</v>
      </c>
    </row>
    <row r="33" spans="1:28" s="23" customFormat="1" ht="21" customHeight="1" x14ac:dyDescent="0.3">
      <c r="A33" s="97" t="s">
        <v>35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98"/>
    </row>
    <row r="34" spans="1:28" s="23" customFormat="1" ht="93" customHeight="1" x14ac:dyDescent="0.3">
      <c r="A34" s="24">
        <v>16</v>
      </c>
      <c r="B34" s="97" t="s">
        <v>36</v>
      </c>
      <c r="C34" s="98"/>
      <c r="D34" s="30">
        <f>SUM(E34:O34)</f>
        <v>93538011.090000004</v>
      </c>
      <c r="E34" s="30">
        <f t="shared" ref="E34:O34" si="13">SUM(E35:E38)</f>
        <v>6001306</v>
      </c>
      <c r="F34" s="30">
        <f t="shared" si="13"/>
        <v>7717583.8100000005</v>
      </c>
      <c r="G34" s="30">
        <f t="shared" si="13"/>
        <v>7655964.5</v>
      </c>
      <c r="H34" s="39">
        <f t="shared" si="13"/>
        <v>7602127</v>
      </c>
      <c r="I34" s="39">
        <f t="shared" si="13"/>
        <v>8986712.5700000003</v>
      </c>
      <c r="J34" s="30">
        <f t="shared" si="13"/>
        <v>8470678.2100000009</v>
      </c>
      <c r="K34" s="30">
        <f t="shared" si="13"/>
        <v>8947546</v>
      </c>
      <c r="L34" s="30">
        <f t="shared" si="13"/>
        <v>8854308</v>
      </c>
      <c r="M34" s="37">
        <f t="shared" si="13"/>
        <v>9806682</v>
      </c>
      <c r="N34" s="30">
        <f t="shared" si="13"/>
        <v>9683296</v>
      </c>
      <c r="O34" s="30">
        <f t="shared" si="13"/>
        <v>9811807</v>
      </c>
      <c r="P34" s="24" t="s">
        <v>25</v>
      </c>
    </row>
    <row r="35" spans="1:28" s="23" customFormat="1" ht="16.8" x14ac:dyDescent="0.3">
      <c r="A35" s="24">
        <v>17</v>
      </c>
      <c r="B35" s="95" t="s">
        <v>27</v>
      </c>
      <c r="C35" s="96"/>
      <c r="D35" s="30">
        <f>SUM(E35:O35)</f>
        <v>0</v>
      </c>
      <c r="E35" s="31">
        <f t="shared" ref="E35:O35" si="14">E41</f>
        <v>0</v>
      </c>
      <c r="F35" s="31">
        <f t="shared" si="14"/>
        <v>0</v>
      </c>
      <c r="G35" s="31">
        <f t="shared" si="14"/>
        <v>0</v>
      </c>
      <c r="H35" s="40">
        <f t="shared" si="14"/>
        <v>0</v>
      </c>
      <c r="I35" s="40">
        <f t="shared" si="14"/>
        <v>0</v>
      </c>
      <c r="J35" s="31">
        <f t="shared" si="14"/>
        <v>0</v>
      </c>
      <c r="K35" s="31">
        <f t="shared" si="14"/>
        <v>0</v>
      </c>
      <c r="L35" s="31">
        <f t="shared" si="14"/>
        <v>0</v>
      </c>
      <c r="M35" s="32">
        <f t="shared" si="14"/>
        <v>0</v>
      </c>
      <c r="N35" s="31">
        <f t="shared" si="14"/>
        <v>0</v>
      </c>
      <c r="O35" s="31">
        <f t="shared" si="14"/>
        <v>0</v>
      </c>
      <c r="P35" s="24" t="s">
        <v>25</v>
      </c>
    </row>
    <row r="36" spans="1:28" s="38" customFormat="1" ht="16.8" x14ac:dyDescent="0.3">
      <c r="A36" s="24">
        <v>18</v>
      </c>
      <c r="B36" s="95" t="s">
        <v>28</v>
      </c>
      <c r="C36" s="96"/>
      <c r="D36" s="30">
        <f>SUM(E36:O36)</f>
        <v>1054456.57</v>
      </c>
      <c r="E36" s="31">
        <v>0</v>
      </c>
      <c r="F36" s="31">
        <f t="shared" ref="F36:O36" si="15">F42</f>
        <v>0</v>
      </c>
      <c r="G36" s="31">
        <f t="shared" si="15"/>
        <v>0</v>
      </c>
      <c r="H36" s="40">
        <f t="shared" si="15"/>
        <v>0</v>
      </c>
      <c r="I36" s="40">
        <f t="shared" si="15"/>
        <v>409650.57</v>
      </c>
      <c r="J36" s="31">
        <f t="shared" si="15"/>
        <v>113600</v>
      </c>
      <c r="K36" s="31">
        <f t="shared" si="15"/>
        <v>119500</v>
      </c>
      <c r="L36" s="31">
        <f t="shared" si="15"/>
        <v>130400</v>
      </c>
      <c r="M36" s="32">
        <f t="shared" si="15"/>
        <v>281306</v>
      </c>
      <c r="N36" s="31">
        <f t="shared" si="15"/>
        <v>0</v>
      </c>
      <c r="O36" s="31">
        <f t="shared" si="15"/>
        <v>0</v>
      </c>
      <c r="P36" s="24" t="s">
        <v>25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 s="38" customFormat="1" ht="16.8" x14ac:dyDescent="0.3">
      <c r="A37" s="24">
        <v>19</v>
      </c>
      <c r="B37" s="95" t="s">
        <v>29</v>
      </c>
      <c r="C37" s="96"/>
      <c r="D37" s="30">
        <f>SUM(E37:O37)</f>
        <v>92212554.520000011</v>
      </c>
      <c r="E37" s="31">
        <f>E43</f>
        <v>6001306</v>
      </c>
      <c r="F37" s="31">
        <f t="shared" ref="F37:O37" si="16">F43</f>
        <v>7717583.8100000005</v>
      </c>
      <c r="G37" s="31">
        <f t="shared" si="16"/>
        <v>7655964.5</v>
      </c>
      <c r="H37" s="40">
        <f t="shared" si="16"/>
        <v>7602127</v>
      </c>
      <c r="I37" s="40">
        <f t="shared" si="16"/>
        <v>8577062</v>
      </c>
      <c r="J37" s="31">
        <f t="shared" si="16"/>
        <v>8357078.21</v>
      </c>
      <c r="K37" s="31">
        <f t="shared" si="16"/>
        <v>8768046</v>
      </c>
      <c r="L37" s="31">
        <f t="shared" si="16"/>
        <v>8678908</v>
      </c>
      <c r="M37" s="32">
        <f t="shared" si="16"/>
        <v>9449376</v>
      </c>
      <c r="N37" s="31">
        <f t="shared" si="16"/>
        <v>9638296</v>
      </c>
      <c r="O37" s="31">
        <f t="shared" si="16"/>
        <v>9766807</v>
      </c>
      <c r="P37" s="24" t="s">
        <v>25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 s="23" customFormat="1" ht="16.8" x14ac:dyDescent="0.3">
      <c r="A38" s="24">
        <v>20</v>
      </c>
      <c r="B38" s="95" t="s">
        <v>30</v>
      </c>
      <c r="C38" s="96"/>
      <c r="D38" s="30">
        <f>SUM(E38:O38)</f>
        <v>271000</v>
      </c>
      <c r="E38" s="31">
        <f>E44</f>
        <v>0</v>
      </c>
      <c r="F38" s="31">
        <f t="shared" ref="F38:O38" si="17">F44</f>
        <v>0</v>
      </c>
      <c r="G38" s="31">
        <f t="shared" si="17"/>
        <v>0</v>
      </c>
      <c r="H38" s="40">
        <f t="shared" si="17"/>
        <v>0</v>
      </c>
      <c r="I38" s="40">
        <f t="shared" si="17"/>
        <v>0</v>
      </c>
      <c r="J38" s="31">
        <f t="shared" si="17"/>
        <v>0</v>
      </c>
      <c r="K38" s="31">
        <f t="shared" si="17"/>
        <v>60000</v>
      </c>
      <c r="L38" s="31">
        <f t="shared" si="17"/>
        <v>45000</v>
      </c>
      <c r="M38" s="32">
        <f t="shared" si="17"/>
        <v>76000</v>
      </c>
      <c r="N38" s="31">
        <f t="shared" si="17"/>
        <v>45000</v>
      </c>
      <c r="O38" s="31">
        <f t="shared" si="17"/>
        <v>45000</v>
      </c>
      <c r="P38" s="24" t="s">
        <v>25</v>
      </c>
    </row>
    <row r="39" spans="1:28" s="23" customFormat="1" ht="20.25" customHeight="1" x14ac:dyDescent="0.3">
      <c r="A39" s="97" t="s">
        <v>31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98"/>
    </row>
    <row r="40" spans="1:28" s="23" customFormat="1" ht="16.8" x14ac:dyDescent="0.3">
      <c r="A40" s="24">
        <v>21</v>
      </c>
      <c r="B40" s="97" t="s">
        <v>31</v>
      </c>
      <c r="C40" s="98"/>
      <c r="D40" s="30">
        <f>SUM(E40:O40)</f>
        <v>93538011.090000004</v>
      </c>
      <c r="E40" s="30">
        <f t="shared" ref="E40:O40" si="18">SUM(E41:E44)</f>
        <v>6001306</v>
      </c>
      <c r="F40" s="30">
        <f t="shared" si="18"/>
        <v>7717583.8100000005</v>
      </c>
      <c r="G40" s="30">
        <f t="shared" si="18"/>
        <v>7655964.5</v>
      </c>
      <c r="H40" s="39">
        <f t="shared" si="18"/>
        <v>7602127</v>
      </c>
      <c r="I40" s="39">
        <f t="shared" si="18"/>
        <v>8986712.5700000003</v>
      </c>
      <c r="J40" s="30">
        <f t="shared" si="18"/>
        <v>8470678.2100000009</v>
      </c>
      <c r="K40" s="30">
        <f t="shared" si="18"/>
        <v>8947546</v>
      </c>
      <c r="L40" s="30">
        <f t="shared" si="18"/>
        <v>8854308</v>
      </c>
      <c r="M40" s="37">
        <f t="shared" si="18"/>
        <v>9806682</v>
      </c>
      <c r="N40" s="30">
        <f t="shared" si="18"/>
        <v>9683296</v>
      </c>
      <c r="O40" s="30">
        <f t="shared" si="18"/>
        <v>9811807</v>
      </c>
      <c r="P40" s="24" t="s">
        <v>25</v>
      </c>
    </row>
    <row r="41" spans="1:28" s="23" customFormat="1" ht="16.8" x14ac:dyDescent="0.3">
      <c r="A41" s="24">
        <v>22</v>
      </c>
      <c r="B41" s="95" t="s">
        <v>27</v>
      </c>
      <c r="C41" s="96"/>
      <c r="D41" s="30">
        <f>SUM(E41:O41)</f>
        <v>0</v>
      </c>
      <c r="E41" s="31">
        <f t="shared" ref="E41:O41" si="19">E47+E53</f>
        <v>0</v>
      </c>
      <c r="F41" s="31">
        <f t="shared" si="19"/>
        <v>0</v>
      </c>
      <c r="G41" s="31">
        <f t="shared" si="19"/>
        <v>0</v>
      </c>
      <c r="H41" s="40">
        <f t="shared" si="19"/>
        <v>0</v>
      </c>
      <c r="I41" s="40">
        <f t="shared" si="19"/>
        <v>0</v>
      </c>
      <c r="J41" s="31">
        <f t="shared" si="19"/>
        <v>0</v>
      </c>
      <c r="K41" s="31">
        <f t="shared" si="19"/>
        <v>0</v>
      </c>
      <c r="L41" s="31">
        <f t="shared" si="19"/>
        <v>0</v>
      </c>
      <c r="M41" s="32">
        <f t="shared" si="19"/>
        <v>0</v>
      </c>
      <c r="N41" s="31">
        <f t="shared" si="19"/>
        <v>0</v>
      </c>
      <c r="O41" s="31">
        <f t="shared" si="19"/>
        <v>0</v>
      </c>
      <c r="P41" s="24" t="s">
        <v>25</v>
      </c>
    </row>
    <row r="42" spans="1:28" s="23" customFormat="1" ht="16.8" x14ac:dyDescent="0.3">
      <c r="A42" s="24">
        <v>23</v>
      </c>
      <c r="B42" s="95" t="s">
        <v>28</v>
      </c>
      <c r="C42" s="96"/>
      <c r="D42" s="30">
        <f>SUM(E42:O42)</f>
        <v>1054456.57</v>
      </c>
      <c r="E42" s="31">
        <f t="shared" ref="E42:G44" si="20">E48+E54</f>
        <v>0</v>
      </c>
      <c r="F42" s="31">
        <f t="shared" si="20"/>
        <v>0</v>
      </c>
      <c r="G42" s="31">
        <f t="shared" si="20"/>
        <v>0</v>
      </c>
      <c r="H42" s="40">
        <f>H48+H54+H60</f>
        <v>0</v>
      </c>
      <c r="I42" s="40">
        <f>I48+I54+I60</f>
        <v>409650.57</v>
      </c>
      <c r="J42" s="31">
        <f>J48+J54+J60</f>
        <v>113600</v>
      </c>
      <c r="K42" s="31">
        <f>K48+K54+K60</f>
        <v>119500</v>
      </c>
      <c r="L42" s="31">
        <f>L48+L54+L60</f>
        <v>130400</v>
      </c>
      <c r="M42" s="32">
        <f>M48+M54+M60+M65</f>
        <v>281306</v>
      </c>
      <c r="N42" s="31">
        <f>N48+N54+N60</f>
        <v>0</v>
      </c>
      <c r="O42" s="31">
        <f>O48+O54+O60</f>
        <v>0</v>
      </c>
      <c r="P42" s="24" t="s">
        <v>25</v>
      </c>
    </row>
    <row r="43" spans="1:28" s="23" customFormat="1" ht="16.8" x14ac:dyDescent="0.3">
      <c r="A43" s="24">
        <v>24</v>
      </c>
      <c r="B43" s="95" t="s">
        <v>29</v>
      </c>
      <c r="C43" s="96"/>
      <c r="D43" s="30">
        <f>SUM(E43:O43)</f>
        <v>92212554.520000011</v>
      </c>
      <c r="E43" s="31">
        <f t="shared" si="20"/>
        <v>6001306</v>
      </c>
      <c r="F43" s="31">
        <f t="shared" si="20"/>
        <v>7717583.8100000005</v>
      </c>
      <c r="G43" s="31">
        <f t="shared" si="20"/>
        <v>7655964.5</v>
      </c>
      <c r="H43" s="40">
        <f>H49+H55</f>
        <v>7602127</v>
      </c>
      <c r="I43" s="40">
        <f>I49+I55+I61+I66</f>
        <v>8577062</v>
      </c>
      <c r="J43" s="31">
        <f>J49+J55+J61+J66</f>
        <v>8357078.21</v>
      </c>
      <c r="K43" s="31">
        <f>K49+K55+K61+K66</f>
        <v>8768046</v>
      </c>
      <c r="L43" s="31">
        <f>L49+L55+L61+L66</f>
        <v>8678908</v>
      </c>
      <c r="M43" s="32">
        <f>M49+M55+M61+M66</f>
        <v>9449376</v>
      </c>
      <c r="N43" s="31">
        <f>N49+N55+N61+N66</f>
        <v>9638296</v>
      </c>
      <c r="O43" s="31">
        <f>O49+O55+O61+O66</f>
        <v>9766807</v>
      </c>
      <c r="P43" s="24" t="s">
        <v>25</v>
      </c>
    </row>
    <row r="44" spans="1:28" s="23" customFormat="1" ht="16.8" x14ac:dyDescent="0.3">
      <c r="A44" s="24">
        <v>25</v>
      </c>
      <c r="B44" s="91" t="s">
        <v>30</v>
      </c>
      <c r="C44" s="92"/>
      <c r="D44" s="30">
        <f>SUM(E44:O44)</f>
        <v>271000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40">
        <f>H50+H56</f>
        <v>0</v>
      </c>
      <c r="I44" s="40">
        <f t="shared" ref="I44:O44" si="21">I50+I56</f>
        <v>0</v>
      </c>
      <c r="J44" s="31">
        <f t="shared" si="21"/>
        <v>0</v>
      </c>
      <c r="K44" s="31">
        <f t="shared" si="21"/>
        <v>60000</v>
      </c>
      <c r="L44" s="31">
        <f t="shared" si="21"/>
        <v>45000</v>
      </c>
      <c r="M44" s="32">
        <f t="shared" si="21"/>
        <v>76000</v>
      </c>
      <c r="N44" s="31">
        <f t="shared" si="21"/>
        <v>45000</v>
      </c>
      <c r="O44" s="31">
        <f t="shared" si="21"/>
        <v>45000</v>
      </c>
      <c r="P44" s="24" t="s">
        <v>25</v>
      </c>
    </row>
    <row r="45" spans="1:28" s="23" customFormat="1" ht="21.75" customHeight="1" x14ac:dyDescent="0.3">
      <c r="A45" s="83">
        <v>26</v>
      </c>
      <c r="B45" s="99" t="s">
        <v>37</v>
      </c>
      <c r="C45" s="100"/>
      <c r="D45" s="103">
        <f>SUM(E45:O46)</f>
        <v>87053460.180000007</v>
      </c>
      <c r="E45" s="103">
        <f t="shared" ref="E45:O45" si="22">SUM(E47:E50)</f>
        <v>6001306</v>
      </c>
      <c r="F45" s="103">
        <f t="shared" si="22"/>
        <v>7653304.2300000004</v>
      </c>
      <c r="G45" s="103">
        <f t="shared" si="22"/>
        <v>7655964.5</v>
      </c>
      <c r="H45" s="106">
        <f t="shared" si="22"/>
        <v>7602127</v>
      </c>
      <c r="I45" s="106">
        <f t="shared" si="22"/>
        <v>7384312.5700000003</v>
      </c>
      <c r="J45" s="103">
        <f t="shared" si="22"/>
        <v>6757916</v>
      </c>
      <c r="K45" s="103">
        <f t="shared" si="22"/>
        <v>6966482.8799999999</v>
      </c>
      <c r="L45" s="103">
        <f t="shared" si="22"/>
        <v>8668008</v>
      </c>
      <c r="M45" s="89">
        <f t="shared" si="22"/>
        <v>9418682</v>
      </c>
      <c r="N45" s="103">
        <f t="shared" si="22"/>
        <v>9410244</v>
      </c>
      <c r="O45" s="103">
        <f t="shared" si="22"/>
        <v>9535113</v>
      </c>
      <c r="P45" s="81" t="s">
        <v>38</v>
      </c>
    </row>
    <row r="46" spans="1:28" s="23" customFormat="1" ht="96" customHeight="1" x14ac:dyDescent="0.3">
      <c r="A46" s="84"/>
      <c r="B46" s="101" t="s">
        <v>39</v>
      </c>
      <c r="C46" s="102"/>
      <c r="D46" s="104"/>
      <c r="E46" s="104"/>
      <c r="F46" s="104"/>
      <c r="G46" s="104"/>
      <c r="H46" s="107"/>
      <c r="I46" s="107"/>
      <c r="J46" s="104"/>
      <c r="K46" s="104"/>
      <c r="L46" s="104"/>
      <c r="M46" s="90"/>
      <c r="N46" s="104"/>
      <c r="O46" s="104"/>
      <c r="P46" s="82"/>
    </row>
    <row r="47" spans="1:28" s="23" customFormat="1" ht="16.8" x14ac:dyDescent="0.3">
      <c r="A47" s="24">
        <v>27</v>
      </c>
      <c r="B47" s="93" t="s">
        <v>27</v>
      </c>
      <c r="C47" s="94"/>
      <c r="D47" s="30">
        <f>SUM(E47:O47)</f>
        <v>0</v>
      </c>
      <c r="E47" s="31">
        <v>0</v>
      </c>
      <c r="F47" s="30">
        <v>0</v>
      </c>
      <c r="G47" s="31">
        <v>0</v>
      </c>
      <c r="H47" s="40">
        <v>0</v>
      </c>
      <c r="I47" s="40">
        <v>0</v>
      </c>
      <c r="J47" s="31">
        <v>0</v>
      </c>
      <c r="K47" s="31">
        <v>0</v>
      </c>
      <c r="L47" s="31">
        <v>0</v>
      </c>
      <c r="M47" s="32">
        <v>0</v>
      </c>
      <c r="N47" s="31">
        <v>0</v>
      </c>
      <c r="O47" s="31">
        <v>0</v>
      </c>
      <c r="P47" s="24" t="s">
        <v>25</v>
      </c>
    </row>
    <row r="48" spans="1:28" s="23" customFormat="1" ht="16.8" x14ac:dyDescent="0.3">
      <c r="A48" s="24">
        <v>28</v>
      </c>
      <c r="B48" s="95" t="s">
        <v>28</v>
      </c>
      <c r="C48" s="96"/>
      <c r="D48" s="30">
        <f>SUM(E48:O48)</f>
        <v>442456.57</v>
      </c>
      <c r="E48" s="31">
        <v>0</v>
      </c>
      <c r="F48" s="30">
        <v>0</v>
      </c>
      <c r="G48" s="31">
        <v>0</v>
      </c>
      <c r="H48" s="40">
        <v>0</v>
      </c>
      <c r="I48" s="40">
        <v>285050.57</v>
      </c>
      <c r="J48" s="31">
        <v>0</v>
      </c>
      <c r="K48" s="31">
        <v>0</v>
      </c>
      <c r="L48" s="31">
        <v>0</v>
      </c>
      <c r="M48" s="32">
        <v>157406</v>
      </c>
      <c r="N48" s="31">
        <v>0</v>
      </c>
      <c r="O48" s="31">
        <v>0</v>
      </c>
      <c r="P48" s="24" t="s">
        <v>25</v>
      </c>
    </row>
    <row r="49" spans="1:16" s="23" customFormat="1" ht="16.8" x14ac:dyDescent="0.3">
      <c r="A49" s="24">
        <v>29</v>
      </c>
      <c r="B49" s="95" t="s">
        <v>29</v>
      </c>
      <c r="C49" s="96"/>
      <c r="D49" s="30">
        <f>SUM(E49:O49)</f>
        <v>86340003.610000014</v>
      </c>
      <c r="E49" s="31">
        <v>6001306</v>
      </c>
      <c r="F49" s="30">
        <v>7653304.2300000004</v>
      </c>
      <c r="G49" s="31">
        <v>7655964.5</v>
      </c>
      <c r="H49" s="40">
        <f>6904624+697503</f>
        <v>7602127</v>
      </c>
      <c r="I49" s="40">
        <f>7099262</f>
        <v>7099262</v>
      </c>
      <c r="J49" s="31">
        <f>6709116+43800+5000</f>
        <v>6757916</v>
      </c>
      <c r="K49" s="31">
        <f>7160807-72944.12-186380+5000</f>
        <v>6906482.8799999999</v>
      </c>
      <c r="L49" s="31">
        <f>8004944-4700+293000+329764</f>
        <v>8623008</v>
      </c>
      <c r="M49" s="32">
        <f>9185276</f>
        <v>9185276</v>
      </c>
      <c r="N49" s="31">
        <v>9365244</v>
      </c>
      <c r="O49" s="31">
        <v>9490113</v>
      </c>
      <c r="P49" s="24" t="s">
        <v>25</v>
      </c>
    </row>
    <row r="50" spans="1:16" s="23" customFormat="1" ht="16.8" x14ac:dyDescent="0.3">
      <c r="A50" s="24">
        <v>30</v>
      </c>
      <c r="B50" s="95" t="s">
        <v>30</v>
      </c>
      <c r="C50" s="96"/>
      <c r="D50" s="30">
        <f>SUM(E50:O50)</f>
        <v>271000</v>
      </c>
      <c r="E50" s="31">
        <v>0</v>
      </c>
      <c r="F50" s="30">
        <v>0</v>
      </c>
      <c r="G50" s="31">
        <v>0</v>
      </c>
      <c r="H50" s="40">
        <v>0</v>
      </c>
      <c r="I50" s="40">
        <v>0</v>
      </c>
      <c r="J50" s="31">
        <v>0</v>
      </c>
      <c r="K50" s="31">
        <v>60000</v>
      </c>
      <c r="L50" s="31">
        <v>45000</v>
      </c>
      <c r="M50" s="32">
        <f>45000+11000+20000</f>
        <v>76000</v>
      </c>
      <c r="N50" s="31">
        <v>45000</v>
      </c>
      <c r="O50" s="31">
        <v>45000</v>
      </c>
      <c r="P50" s="24" t="s">
        <v>25</v>
      </c>
    </row>
    <row r="51" spans="1:16" s="23" customFormat="1" ht="16.5" customHeight="1" x14ac:dyDescent="0.3">
      <c r="A51" s="83">
        <v>31</v>
      </c>
      <c r="B51" s="42" t="s">
        <v>40</v>
      </c>
      <c r="C51" s="103">
        <f>SUM(E51:O52)</f>
        <v>64279.58</v>
      </c>
      <c r="D51" s="109"/>
      <c r="E51" s="103">
        <f t="shared" ref="E51:O51" si="23">SUM(E53:E56)</f>
        <v>0</v>
      </c>
      <c r="F51" s="103">
        <f t="shared" si="23"/>
        <v>64279.58</v>
      </c>
      <c r="G51" s="103">
        <f t="shared" si="23"/>
        <v>0</v>
      </c>
      <c r="H51" s="106">
        <f t="shared" si="23"/>
        <v>0</v>
      </c>
      <c r="I51" s="106">
        <f t="shared" si="23"/>
        <v>0</v>
      </c>
      <c r="J51" s="103">
        <f t="shared" si="23"/>
        <v>0</v>
      </c>
      <c r="K51" s="103">
        <f t="shared" si="23"/>
        <v>0</v>
      </c>
      <c r="L51" s="103">
        <f t="shared" si="23"/>
        <v>0</v>
      </c>
      <c r="M51" s="89">
        <f t="shared" si="23"/>
        <v>0</v>
      </c>
      <c r="N51" s="103">
        <f t="shared" si="23"/>
        <v>0</v>
      </c>
      <c r="O51" s="103">
        <f t="shared" si="23"/>
        <v>0</v>
      </c>
      <c r="P51" s="81" t="s">
        <v>25</v>
      </c>
    </row>
    <row r="52" spans="1:16" s="23" customFormat="1" ht="63" customHeight="1" x14ac:dyDescent="0.3">
      <c r="A52" s="84"/>
      <c r="B52" s="43" t="s">
        <v>41</v>
      </c>
      <c r="C52" s="131"/>
      <c r="D52" s="111"/>
      <c r="E52" s="104"/>
      <c r="F52" s="104"/>
      <c r="G52" s="104"/>
      <c r="H52" s="107"/>
      <c r="I52" s="107"/>
      <c r="J52" s="104"/>
      <c r="K52" s="104"/>
      <c r="L52" s="104"/>
      <c r="M52" s="90"/>
      <c r="N52" s="104"/>
      <c r="O52" s="104"/>
      <c r="P52" s="82"/>
    </row>
    <row r="53" spans="1:16" s="23" customFormat="1" ht="16.8" x14ac:dyDescent="0.3">
      <c r="A53" s="27">
        <v>32</v>
      </c>
      <c r="B53" s="95" t="s">
        <v>27</v>
      </c>
      <c r="C53" s="96"/>
      <c r="D53" s="30">
        <f>SUM(E53:O53)</f>
        <v>0</v>
      </c>
      <c r="E53" s="31">
        <v>0</v>
      </c>
      <c r="F53" s="31">
        <v>0</v>
      </c>
      <c r="G53" s="31">
        <v>0</v>
      </c>
      <c r="H53" s="40">
        <v>0</v>
      </c>
      <c r="I53" s="40">
        <v>0</v>
      </c>
      <c r="J53" s="31">
        <v>0</v>
      </c>
      <c r="K53" s="31">
        <v>0</v>
      </c>
      <c r="L53" s="31">
        <v>0</v>
      </c>
      <c r="M53" s="32">
        <v>0</v>
      </c>
      <c r="N53" s="31">
        <v>0</v>
      </c>
      <c r="O53" s="31">
        <v>0</v>
      </c>
      <c r="P53" s="24" t="s">
        <v>25</v>
      </c>
    </row>
    <row r="54" spans="1:16" s="23" customFormat="1" ht="16.8" x14ac:dyDescent="0.3">
      <c r="A54" s="27">
        <v>33</v>
      </c>
      <c r="B54" s="35" t="s">
        <v>28</v>
      </c>
      <c r="C54" s="103">
        <f>SUM(E54:K54)</f>
        <v>0</v>
      </c>
      <c r="D54" s="112"/>
      <c r="E54" s="31">
        <v>0</v>
      </c>
      <c r="F54" s="31">
        <v>0</v>
      </c>
      <c r="G54" s="31">
        <v>0</v>
      </c>
      <c r="H54" s="40">
        <v>0</v>
      </c>
      <c r="I54" s="40">
        <v>0</v>
      </c>
      <c r="J54" s="31">
        <v>0</v>
      </c>
      <c r="K54" s="31">
        <v>0</v>
      </c>
      <c r="L54" s="31">
        <v>0</v>
      </c>
      <c r="M54" s="32">
        <v>0</v>
      </c>
      <c r="N54" s="31">
        <v>0</v>
      </c>
      <c r="O54" s="31">
        <v>0</v>
      </c>
      <c r="P54" s="24" t="s">
        <v>25</v>
      </c>
    </row>
    <row r="55" spans="1:16" s="23" customFormat="1" ht="16.8" x14ac:dyDescent="0.3">
      <c r="A55" s="27">
        <v>34</v>
      </c>
      <c r="B55" s="35" t="s">
        <v>29</v>
      </c>
      <c r="C55" s="103">
        <f>SUM(E55:O55)</f>
        <v>64279.58</v>
      </c>
      <c r="D55" s="112"/>
      <c r="E55" s="31">
        <v>0</v>
      </c>
      <c r="F55" s="31">
        <v>64279.58</v>
      </c>
      <c r="G55" s="31">
        <v>0</v>
      </c>
      <c r="H55" s="40">
        <v>0</v>
      </c>
      <c r="I55" s="40">
        <v>0</v>
      </c>
      <c r="J55" s="31">
        <v>0</v>
      </c>
      <c r="K55" s="31">
        <v>0</v>
      </c>
      <c r="L55" s="31">
        <v>0</v>
      </c>
      <c r="M55" s="32">
        <v>0</v>
      </c>
      <c r="N55" s="31">
        <v>0</v>
      </c>
      <c r="O55" s="31">
        <v>0</v>
      </c>
      <c r="P55" s="24" t="s">
        <v>25</v>
      </c>
    </row>
    <row r="56" spans="1:16" s="23" customFormat="1" ht="16.8" x14ac:dyDescent="0.3">
      <c r="A56" s="27">
        <v>35</v>
      </c>
      <c r="B56" s="95" t="s">
        <v>30</v>
      </c>
      <c r="C56" s="96"/>
      <c r="D56" s="44">
        <f>SUM(E56:K56)</f>
        <v>0</v>
      </c>
      <c r="E56" s="45">
        <v>0</v>
      </c>
      <c r="F56" s="45">
        <v>0</v>
      </c>
      <c r="G56" s="45">
        <v>0</v>
      </c>
      <c r="H56" s="46">
        <v>0</v>
      </c>
      <c r="I56" s="46">
        <v>0</v>
      </c>
      <c r="J56" s="45">
        <v>0</v>
      </c>
      <c r="K56" s="45">
        <v>0</v>
      </c>
      <c r="L56" s="45">
        <v>0</v>
      </c>
      <c r="M56" s="47">
        <v>0</v>
      </c>
      <c r="N56" s="45">
        <v>0</v>
      </c>
      <c r="O56" s="45">
        <v>0</v>
      </c>
      <c r="P56" s="24" t="s">
        <v>25</v>
      </c>
    </row>
    <row r="57" spans="1:16" s="23" customFormat="1" ht="16.5" customHeight="1" x14ac:dyDescent="0.3">
      <c r="A57" s="83">
        <v>36</v>
      </c>
      <c r="B57" s="42" t="s">
        <v>42</v>
      </c>
      <c r="C57" s="103">
        <f>SUM(E57:O58)</f>
        <v>987891.21</v>
      </c>
      <c r="D57" s="109"/>
      <c r="E57" s="103">
        <f>SUM(E59:E66)</f>
        <v>0</v>
      </c>
      <c r="F57" s="103">
        <f>SUM(F59:F66)</f>
        <v>0</v>
      </c>
      <c r="G57" s="103">
        <f>SUM(G59:G66)</f>
        <v>0</v>
      </c>
      <c r="H57" s="106">
        <f>SUM(H59:H66)</f>
        <v>0</v>
      </c>
      <c r="I57" s="106">
        <f>SUM(I59:I61)</f>
        <v>179600</v>
      </c>
      <c r="J57" s="103">
        <f>J61+J60</f>
        <v>162762.21</v>
      </c>
      <c r="K57" s="103">
        <f>SUM(K59:K62)</f>
        <v>170700</v>
      </c>
      <c r="L57" s="103">
        <f>SUM(L59:L62)</f>
        <v>186300</v>
      </c>
      <c r="M57" s="89">
        <f>SUM(M59:M62)</f>
        <v>177000</v>
      </c>
      <c r="N57" s="103">
        <f>SUM(N59:N62)</f>
        <v>55395</v>
      </c>
      <c r="O57" s="103">
        <f>SUM(O59:O62)</f>
        <v>56134</v>
      </c>
      <c r="P57" s="81" t="s">
        <v>25</v>
      </c>
    </row>
    <row r="58" spans="1:16" s="23" customFormat="1" ht="110.25" customHeight="1" x14ac:dyDescent="0.3">
      <c r="A58" s="84"/>
      <c r="B58" s="43" t="s">
        <v>43</v>
      </c>
      <c r="C58" s="131"/>
      <c r="D58" s="111"/>
      <c r="E58" s="104"/>
      <c r="F58" s="104"/>
      <c r="G58" s="104"/>
      <c r="H58" s="107"/>
      <c r="I58" s="107"/>
      <c r="J58" s="104"/>
      <c r="K58" s="104"/>
      <c r="L58" s="104"/>
      <c r="M58" s="90"/>
      <c r="N58" s="104"/>
      <c r="O58" s="104"/>
      <c r="P58" s="82"/>
    </row>
    <row r="59" spans="1:16" s="23" customFormat="1" ht="16.8" x14ac:dyDescent="0.3">
      <c r="A59" s="27">
        <v>37</v>
      </c>
      <c r="B59" s="95" t="s">
        <v>27</v>
      </c>
      <c r="C59" s="96"/>
      <c r="D59" s="30">
        <f>SUM(E59:O59)</f>
        <v>0</v>
      </c>
      <c r="E59" s="31">
        <v>0</v>
      </c>
      <c r="F59" s="31">
        <v>0</v>
      </c>
      <c r="G59" s="31">
        <v>0</v>
      </c>
      <c r="H59" s="40">
        <v>0</v>
      </c>
      <c r="I59" s="40">
        <v>0</v>
      </c>
      <c r="J59" s="31">
        <v>0</v>
      </c>
      <c r="K59" s="31">
        <v>0</v>
      </c>
      <c r="L59" s="31">
        <v>0</v>
      </c>
      <c r="M59" s="32">
        <v>0</v>
      </c>
      <c r="N59" s="31">
        <v>0</v>
      </c>
      <c r="O59" s="31">
        <v>0</v>
      </c>
      <c r="P59" s="24" t="s">
        <v>25</v>
      </c>
    </row>
    <row r="60" spans="1:16" s="48" customFormat="1" ht="16.8" x14ac:dyDescent="0.3">
      <c r="A60" s="27">
        <v>38</v>
      </c>
      <c r="B60" s="35" t="s">
        <v>28</v>
      </c>
      <c r="C60" s="103">
        <f>SUM(E60:O60)</f>
        <v>612000</v>
      </c>
      <c r="D60" s="112"/>
      <c r="E60" s="31">
        <v>0</v>
      </c>
      <c r="F60" s="31">
        <v>0</v>
      </c>
      <c r="G60" s="31">
        <v>0</v>
      </c>
      <c r="H60" s="40">
        <v>0</v>
      </c>
      <c r="I60" s="40">
        <v>124600</v>
      </c>
      <c r="J60" s="31">
        <v>113600</v>
      </c>
      <c r="K60" s="31">
        <v>119500</v>
      </c>
      <c r="L60" s="31">
        <v>130400</v>
      </c>
      <c r="M60" s="32">
        <v>123900</v>
      </c>
      <c r="N60" s="31">
        <v>0</v>
      </c>
      <c r="O60" s="31">
        <v>0</v>
      </c>
      <c r="P60" s="24" t="s">
        <v>25</v>
      </c>
    </row>
    <row r="61" spans="1:16" s="23" customFormat="1" ht="16.8" x14ac:dyDescent="0.3">
      <c r="A61" s="27">
        <v>39</v>
      </c>
      <c r="B61" s="35" t="s">
        <v>29</v>
      </c>
      <c r="C61" s="103">
        <f>SUM(E61:O61)</f>
        <v>375891.20999999996</v>
      </c>
      <c r="D61" s="112"/>
      <c r="E61" s="31">
        <v>0</v>
      </c>
      <c r="F61" s="31">
        <v>0</v>
      </c>
      <c r="G61" s="31">
        <v>0</v>
      </c>
      <c r="H61" s="40">
        <v>0</v>
      </c>
      <c r="I61" s="40">
        <v>55000</v>
      </c>
      <c r="J61" s="31">
        <v>49162.21</v>
      </c>
      <c r="K61" s="31">
        <v>51200</v>
      </c>
      <c r="L61" s="31">
        <f>51200+4700</f>
        <v>55900</v>
      </c>
      <c r="M61" s="32">
        <f>51917+1783-600</f>
        <v>53100</v>
      </c>
      <c r="N61" s="31">
        <v>55395</v>
      </c>
      <c r="O61" s="31">
        <v>56134</v>
      </c>
      <c r="P61" s="24" t="s">
        <v>25</v>
      </c>
    </row>
    <row r="62" spans="1:16" s="23" customFormat="1" ht="16.8" x14ac:dyDescent="0.3">
      <c r="A62" s="27">
        <v>40</v>
      </c>
      <c r="B62" s="95" t="s">
        <v>30</v>
      </c>
      <c r="C62" s="96"/>
      <c r="D62" s="44">
        <f>SUM(E62:O62)</f>
        <v>0</v>
      </c>
      <c r="E62" s="45">
        <v>0</v>
      </c>
      <c r="F62" s="45">
        <v>0</v>
      </c>
      <c r="G62" s="45">
        <v>0</v>
      </c>
      <c r="H62" s="46">
        <v>0</v>
      </c>
      <c r="I62" s="46">
        <v>0</v>
      </c>
      <c r="J62" s="45">
        <v>0</v>
      </c>
      <c r="K62" s="45">
        <v>0</v>
      </c>
      <c r="L62" s="45">
        <v>0</v>
      </c>
      <c r="M62" s="47">
        <v>0</v>
      </c>
      <c r="N62" s="45">
        <v>0</v>
      </c>
      <c r="O62" s="45">
        <v>0</v>
      </c>
      <c r="P62" s="24" t="s">
        <v>25</v>
      </c>
    </row>
    <row r="63" spans="1:16" s="49" customFormat="1" ht="80.25" customHeight="1" x14ac:dyDescent="0.3">
      <c r="A63" s="50">
        <v>41</v>
      </c>
      <c r="B63" s="51" t="s">
        <v>44</v>
      </c>
      <c r="C63" s="30"/>
      <c r="D63" s="44">
        <f>SUM(E63:O63)</f>
        <v>5432380.1200000001</v>
      </c>
      <c r="E63" s="30">
        <v>0</v>
      </c>
      <c r="F63" s="30">
        <v>0</v>
      </c>
      <c r="G63" s="30">
        <v>0</v>
      </c>
      <c r="H63" s="30">
        <v>0</v>
      </c>
      <c r="I63" s="30">
        <f t="shared" ref="I63:O63" si="24">SUM(I64:I67)</f>
        <v>1422800</v>
      </c>
      <c r="J63" s="30">
        <f t="shared" si="24"/>
        <v>1550000</v>
      </c>
      <c r="K63" s="30">
        <f t="shared" si="24"/>
        <v>1810363.12</v>
      </c>
      <c r="L63" s="30">
        <f t="shared" si="24"/>
        <v>0</v>
      </c>
      <c r="M63" s="37">
        <f t="shared" si="24"/>
        <v>211000</v>
      </c>
      <c r="N63" s="30">
        <f t="shared" si="24"/>
        <v>217657</v>
      </c>
      <c r="O63" s="30">
        <f t="shared" si="24"/>
        <v>220560</v>
      </c>
      <c r="P63" s="36" t="s">
        <v>32</v>
      </c>
    </row>
    <row r="64" spans="1:16" s="23" customFormat="1" ht="16.8" x14ac:dyDescent="0.3">
      <c r="A64" s="27">
        <v>42</v>
      </c>
      <c r="B64" s="95" t="s">
        <v>27</v>
      </c>
      <c r="C64" s="96"/>
      <c r="D64" s="30">
        <f>SUM(E64:O64)</f>
        <v>0</v>
      </c>
      <c r="E64" s="31">
        <v>0</v>
      </c>
      <c r="F64" s="31">
        <v>0</v>
      </c>
      <c r="G64" s="31">
        <v>0</v>
      </c>
      <c r="H64" s="40">
        <v>0</v>
      </c>
      <c r="I64" s="40">
        <v>0</v>
      </c>
      <c r="J64" s="31">
        <v>0</v>
      </c>
      <c r="K64" s="31">
        <v>0</v>
      </c>
      <c r="L64" s="31">
        <v>0</v>
      </c>
      <c r="M64" s="32">
        <v>0</v>
      </c>
      <c r="N64" s="31">
        <v>0</v>
      </c>
      <c r="O64" s="31">
        <v>0</v>
      </c>
      <c r="P64" s="24" t="s">
        <v>25</v>
      </c>
    </row>
    <row r="65" spans="1:28" s="23" customFormat="1" ht="16.8" x14ac:dyDescent="0.3">
      <c r="A65" s="27">
        <v>43</v>
      </c>
      <c r="B65" s="35" t="s">
        <v>28</v>
      </c>
      <c r="C65" s="103">
        <f>SUM(E65:O65)</f>
        <v>0</v>
      </c>
      <c r="D65" s="112"/>
      <c r="E65" s="31">
        <v>0</v>
      </c>
      <c r="F65" s="31">
        <v>0</v>
      </c>
      <c r="G65" s="31">
        <v>0</v>
      </c>
      <c r="H65" s="40">
        <v>0</v>
      </c>
      <c r="I65" s="40">
        <v>0</v>
      </c>
      <c r="J65" s="31">
        <v>0</v>
      </c>
      <c r="K65" s="31">
        <v>0</v>
      </c>
      <c r="L65" s="31">
        <v>0</v>
      </c>
      <c r="M65" s="32">
        <v>0</v>
      </c>
      <c r="N65" s="31">
        <v>0</v>
      </c>
      <c r="O65" s="31">
        <v>0</v>
      </c>
      <c r="P65" s="24" t="s">
        <v>25</v>
      </c>
    </row>
    <row r="66" spans="1:28" s="48" customFormat="1" ht="16.8" x14ac:dyDescent="0.3">
      <c r="A66" s="27">
        <v>44</v>
      </c>
      <c r="B66" s="35" t="s">
        <v>29</v>
      </c>
      <c r="C66" s="103">
        <f>SUM(E66:O66)</f>
        <v>5432380.1200000001</v>
      </c>
      <c r="D66" s="112"/>
      <c r="E66" s="31">
        <v>0</v>
      </c>
      <c r="F66" s="31">
        <v>0</v>
      </c>
      <c r="G66" s="31">
        <v>0</v>
      </c>
      <c r="H66" s="40">
        <v>0</v>
      </c>
      <c r="I66" s="40">
        <v>1422800</v>
      </c>
      <c r="J66" s="31">
        <v>1550000</v>
      </c>
      <c r="K66" s="31">
        <f>1413039+72944.12+324380</f>
        <v>1810363.12</v>
      </c>
      <c r="L66" s="31">
        <f>329764-329764</f>
        <v>0</v>
      </c>
      <c r="M66" s="32">
        <v>211000</v>
      </c>
      <c r="N66" s="31">
        <v>217657</v>
      </c>
      <c r="O66" s="31">
        <v>220560</v>
      </c>
      <c r="P66" s="24" t="s">
        <v>25</v>
      </c>
    </row>
    <row r="67" spans="1:28" s="23" customFormat="1" ht="16.5" customHeight="1" x14ac:dyDescent="0.3">
      <c r="A67" s="27">
        <v>45</v>
      </c>
      <c r="B67" s="95" t="s">
        <v>30</v>
      </c>
      <c r="C67" s="96"/>
      <c r="D67" s="44">
        <f>SUM(E67:K67)</f>
        <v>0</v>
      </c>
      <c r="E67" s="45">
        <v>0</v>
      </c>
      <c r="F67" s="45">
        <v>0</v>
      </c>
      <c r="G67" s="45">
        <v>0</v>
      </c>
      <c r="H67" s="46">
        <v>0</v>
      </c>
      <c r="I67" s="46">
        <v>0</v>
      </c>
      <c r="J67" s="45">
        <v>0</v>
      </c>
      <c r="K67" s="45">
        <v>0</v>
      </c>
      <c r="L67" s="45">
        <v>0</v>
      </c>
      <c r="M67" s="47">
        <v>0</v>
      </c>
      <c r="N67" s="45">
        <v>0</v>
      </c>
      <c r="O67" s="45">
        <v>0</v>
      </c>
      <c r="P67" s="24" t="s">
        <v>25</v>
      </c>
    </row>
    <row r="68" spans="1:28" s="23" customFormat="1" ht="21" customHeight="1" x14ac:dyDescent="0.3">
      <c r="A68" s="97" t="s">
        <v>45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98"/>
    </row>
    <row r="69" spans="1:28" s="23" customFormat="1" ht="66.75" customHeight="1" x14ac:dyDescent="0.3">
      <c r="A69" s="24">
        <v>46</v>
      </c>
      <c r="B69" s="97" t="s">
        <v>46</v>
      </c>
      <c r="C69" s="98"/>
      <c r="D69" s="30">
        <f>SUM(E69:O69)</f>
        <v>83506848.49000001</v>
      </c>
      <c r="E69" s="30">
        <f t="shared" ref="E69:O69" si="25">SUM(E70:E73)</f>
        <v>42562</v>
      </c>
      <c r="F69" s="30">
        <f t="shared" si="25"/>
        <v>0</v>
      </c>
      <c r="G69" s="30">
        <f t="shared" si="25"/>
        <v>1074858.5</v>
      </c>
      <c r="H69" s="39">
        <f t="shared" si="25"/>
        <v>1113469</v>
      </c>
      <c r="I69" s="39">
        <f t="shared" si="25"/>
        <v>15799827.560000001</v>
      </c>
      <c r="J69" s="30">
        <f t="shared" si="25"/>
        <v>30365931.84</v>
      </c>
      <c r="K69" s="30">
        <f t="shared" si="25"/>
        <v>8721339.1900000013</v>
      </c>
      <c r="L69" s="30">
        <f t="shared" si="25"/>
        <v>26388860.400000002</v>
      </c>
      <c r="M69" s="37">
        <f t="shared" si="25"/>
        <v>0</v>
      </c>
      <c r="N69" s="30">
        <f t="shared" si="25"/>
        <v>0</v>
      </c>
      <c r="O69" s="30">
        <f t="shared" si="25"/>
        <v>0</v>
      </c>
      <c r="P69" s="24">
        <v>19.2</v>
      </c>
    </row>
    <row r="70" spans="1:28" s="23" customFormat="1" ht="16.8" x14ac:dyDescent="0.3">
      <c r="A70" s="24">
        <v>47</v>
      </c>
      <c r="B70" s="95" t="s">
        <v>27</v>
      </c>
      <c r="C70" s="96"/>
      <c r="D70" s="30">
        <f>SUM(E70:K70)</f>
        <v>0</v>
      </c>
      <c r="E70" s="31">
        <f t="shared" ref="E70:O70" si="26">E76</f>
        <v>0</v>
      </c>
      <c r="F70" s="31">
        <f t="shared" si="26"/>
        <v>0</v>
      </c>
      <c r="G70" s="31">
        <f t="shared" si="26"/>
        <v>0</v>
      </c>
      <c r="H70" s="40">
        <f t="shared" si="26"/>
        <v>0</v>
      </c>
      <c r="I70" s="40">
        <f t="shared" si="26"/>
        <v>0</v>
      </c>
      <c r="J70" s="31">
        <f t="shared" si="26"/>
        <v>0</v>
      </c>
      <c r="K70" s="31">
        <f t="shared" si="26"/>
        <v>0</v>
      </c>
      <c r="L70" s="31">
        <f t="shared" si="26"/>
        <v>0</v>
      </c>
      <c r="M70" s="32">
        <f t="shared" si="26"/>
        <v>0</v>
      </c>
      <c r="N70" s="31">
        <f t="shared" si="26"/>
        <v>0</v>
      </c>
      <c r="O70" s="31">
        <f t="shared" si="26"/>
        <v>0</v>
      </c>
      <c r="P70" s="24" t="s">
        <v>32</v>
      </c>
    </row>
    <row r="71" spans="1:28" s="52" customFormat="1" ht="16.8" x14ac:dyDescent="0.3">
      <c r="A71" s="24">
        <v>48</v>
      </c>
      <c r="B71" s="95" t="s">
        <v>28</v>
      </c>
      <c r="C71" s="96"/>
      <c r="D71" s="30">
        <f>SUM(E71:O71)</f>
        <v>60875782.719999999</v>
      </c>
      <c r="E71" s="31">
        <f>E77</f>
        <v>0</v>
      </c>
      <c r="F71" s="31">
        <f>F77</f>
        <v>0</v>
      </c>
      <c r="G71" s="31">
        <f>G77</f>
        <v>0</v>
      </c>
      <c r="H71" s="40">
        <f t="shared" ref="H71:O71" si="27">H77+H83</f>
        <v>128400</v>
      </c>
      <c r="I71" s="40">
        <f t="shared" si="27"/>
        <v>12476100</v>
      </c>
      <c r="J71" s="31">
        <f t="shared" si="27"/>
        <v>22365851.84</v>
      </c>
      <c r="K71" s="31">
        <f t="shared" si="27"/>
        <v>4587865.4400000004</v>
      </c>
      <c r="L71" s="31">
        <f t="shared" si="27"/>
        <v>21317565.440000001</v>
      </c>
      <c r="M71" s="32">
        <f t="shared" si="27"/>
        <v>0</v>
      </c>
      <c r="N71" s="31">
        <f t="shared" si="27"/>
        <v>0</v>
      </c>
      <c r="O71" s="31">
        <f t="shared" si="27"/>
        <v>0</v>
      </c>
      <c r="P71" s="24" t="s">
        <v>32</v>
      </c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 s="23" customFormat="1" ht="16.8" x14ac:dyDescent="0.3">
      <c r="A72" s="24">
        <v>49</v>
      </c>
      <c r="B72" s="95" t="s">
        <v>29</v>
      </c>
      <c r="C72" s="96"/>
      <c r="D72" s="30">
        <f>SUM(E72:O72)</f>
        <v>22631065.770000003</v>
      </c>
      <c r="E72" s="40">
        <f>E84+E78</f>
        <v>42562</v>
      </c>
      <c r="F72" s="40">
        <f>F84+F78</f>
        <v>0</v>
      </c>
      <c r="G72" s="40">
        <f>G84+G78</f>
        <v>1074858.5</v>
      </c>
      <c r="H72" s="40">
        <f>H84+H78</f>
        <v>985069</v>
      </c>
      <c r="I72" s="40">
        <f>I84+I78</f>
        <v>3323727.56</v>
      </c>
      <c r="J72" s="31">
        <f>J78+J84</f>
        <v>8000080</v>
      </c>
      <c r="K72" s="31">
        <f>K84+K78</f>
        <v>4133473.75</v>
      </c>
      <c r="L72" s="31">
        <f>L84+L78</f>
        <v>5071294.96</v>
      </c>
      <c r="M72" s="32">
        <f>M84+M78</f>
        <v>0</v>
      </c>
      <c r="N72" s="31">
        <f>N84+N78</f>
        <v>0</v>
      </c>
      <c r="O72" s="31">
        <f>O84+O78</f>
        <v>0</v>
      </c>
      <c r="P72" s="24" t="s">
        <v>32</v>
      </c>
    </row>
    <row r="73" spans="1:28" s="23" customFormat="1" ht="16.8" x14ac:dyDescent="0.3">
      <c r="A73" s="24">
        <v>50</v>
      </c>
      <c r="B73" s="95" t="s">
        <v>30</v>
      </c>
      <c r="C73" s="96"/>
      <c r="D73" s="30">
        <f>SUM(E73:O73)</f>
        <v>0</v>
      </c>
      <c r="E73" s="31">
        <f t="shared" ref="E73:K73" si="28">E79</f>
        <v>0</v>
      </c>
      <c r="F73" s="31">
        <f t="shared" si="28"/>
        <v>0</v>
      </c>
      <c r="G73" s="31">
        <f t="shared" si="28"/>
        <v>0</v>
      </c>
      <c r="H73" s="40">
        <f t="shared" si="28"/>
        <v>0</v>
      </c>
      <c r="I73" s="40">
        <f t="shared" si="28"/>
        <v>0</v>
      </c>
      <c r="J73" s="31">
        <f t="shared" si="28"/>
        <v>0</v>
      </c>
      <c r="K73" s="31">
        <f t="shared" si="28"/>
        <v>0</v>
      </c>
      <c r="L73" s="31">
        <v>0</v>
      </c>
      <c r="M73" s="32">
        <v>0</v>
      </c>
      <c r="N73" s="31">
        <v>0</v>
      </c>
      <c r="O73" s="31">
        <v>0</v>
      </c>
      <c r="P73" s="24" t="s">
        <v>32</v>
      </c>
    </row>
    <row r="74" spans="1:28" s="23" customFormat="1" ht="21" customHeight="1" x14ac:dyDescent="0.3">
      <c r="A74" s="97" t="s">
        <v>31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98"/>
    </row>
    <row r="75" spans="1:28" s="23" customFormat="1" ht="16.8" x14ac:dyDescent="0.3">
      <c r="A75" s="24">
        <v>51</v>
      </c>
      <c r="B75" s="97" t="s">
        <v>31</v>
      </c>
      <c r="C75" s="98"/>
      <c r="D75" s="30">
        <f>SUM(E75:O75)</f>
        <v>1361292.56</v>
      </c>
      <c r="E75" s="30">
        <f t="shared" ref="E75:K75" si="29">SUM(E76:E79)</f>
        <v>0</v>
      </c>
      <c r="F75" s="30">
        <f t="shared" si="29"/>
        <v>0</v>
      </c>
      <c r="G75" s="30">
        <f t="shared" si="29"/>
        <v>0</v>
      </c>
      <c r="H75" s="39">
        <f t="shared" si="29"/>
        <v>483765</v>
      </c>
      <c r="I75" s="39">
        <f t="shared" si="29"/>
        <v>377527.56</v>
      </c>
      <c r="J75" s="30">
        <f t="shared" si="29"/>
        <v>500000</v>
      </c>
      <c r="K75" s="30">
        <f t="shared" si="29"/>
        <v>0</v>
      </c>
      <c r="L75" s="30">
        <v>0</v>
      </c>
      <c r="M75" s="37">
        <v>0</v>
      </c>
      <c r="N75" s="30">
        <v>0</v>
      </c>
      <c r="O75" s="30">
        <v>0</v>
      </c>
      <c r="P75" s="24" t="s">
        <v>32</v>
      </c>
    </row>
    <row r="76" spans="1:28" s="23" customFormat="1" ht="16.8" x14ac:dyDescent="0.3">
      <c r="A76" s="24">
        <v>52</v>
      </c>
      <c r="B76" s="95" t="s">
        <v>47</v>
      </c>
      <c r="C76" s="96"/>
      <c r="D76" s="30">
        <f>SUM(E76:O76)</f>
        <v>0</v>
      </c>
      <c r="E76" s="31">
        <f t="shared" ref="E76:O76" si="30">E82</f>
        <v>0</v>
      </c>
      <c r="F76" s="31">
        <f t="shared" si="30"/>
        <v>0</v>
      </c>
      <c r="G76" s="31">
        <f t="shared" si="30"/>
        <v>0</v>
      </c>
      <c r="H76" s="40">
        <f t="shared" si="30"/>
        <v>0</v>
      </c>
      <c r="I76" s="40">
        <f t="shared" si="30"/>
        <v>0</v>
      </c>
      <c r="J76" s="31">
        <f t="shared" si="30"/>
        <v>0</v>
      </c>
      <c r="K76" s="31">
        <f t="shared" si="30"/>
        <v>0</v>
      </c>
      <c r="L76" s="31">
        <f t="shared" si="30"/>
        <v>0</v>
      </c>
      <c r="M76" s="32">
        <f t="shared" si="30"/>
        <v>0</v>
      </c>
      <c r="N76" s="31">
        <f t="shared" si="30"/>
        <v>0</v>
      </c>
      <c r="O76" s="31">
        <f t="shared" si="30"/>
        <v>0</v>
      </c>
      <c r="P76" s="24" t="s">
        <v>32</v>
      </c>
    </row>
    <row r="77" spans="1:28" s="53" customFormat="1" ht="16.8" x14ac:dyDescent="0.3">
      <c r="A77" s="24">
        <v>53</v>
      </c>
      <c r="B77" s="95" t="s">
        <v>28</v>
      </c>
      <c r="C77" s="96"/>
      <c r="D77" s="30">
        <f>SUM(E77:O77)</f>
        <v>254500</v>
      </c>
      <c r="E77" s="31">
        <f>E83</f>
        <v>0</v>
      </c>
      <c r="F77" s="31">
        <f>F83</f>
        <v>0</v>
      </c>
      <c r="G77" s="31">
        <f>G83</f>
        <v>0</v>
      </c>
      <c r="H77" s="40">
        <v>128400</v>
      </c>
      <c r="I77" s="40">
        <v>126100</v>
      </c>
      <c r="J77" s="31">
        <v>0</v>
      </c>
      <c r="K77" s="31">
        <v>0</v>
      </c>
      <c r="L77" s="31">
        <v>0</v>
      </c>
      <c r="M77" s="32">
        <f>M83</f>
        <v>0</v>
      </c>
      <c r="N77" s="31">
        <f>N83</f>
        <v>0</v>
      </c>
      <c r="O77" s="31">
        <f>O83</f>
        <v>0</v>
      </c>
      <c r="P77" s="24" t="s">
        <v>32</v>
      </c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  <row r="78" spans="1:28" s="23" customFormat="1" ht="16.8" x14ac:dyDescent="0.3">
      <c r="A78" s="24">
        <v>54</v>
      </c>
      <c r="B78" s="95" t="s">
        <v>29</v>
      </c>
      <c r="C78" s="96"/>
      <c r="D78" s="30">
        <f>SUM(E78:O78)</f>
        <v>1106792.56</v>
      </c>
      <c r="E78" s="31">
        <v>0</v>
      </c>
      <c r="F78" s="31">
        <f>F84</f>
        <v>0</v>
      </c>
      <c r="G78" s="31">
        <v>0</v>
      </c>
      <c r="H78" s="40">
        <f>H124</f>
        <v>355365</v>
      </c>
      <c r="I78" s="40">
        <v>251427.56</v>
      </c>
      <c r="J78" s="31">
        <f>J124</f>
        <v>500000</v>
      </c>
      <c r="K78" s="31">
        <v>0</v>
      </c>
      <c r="L78" s="31">
        <v>0</v>
      </c>
      <c r="M78" s="32">
        <v>0</v>
      </c>
      <c r="N78" s="31">
        <v>0</v>
      </c>
      <c r="O78" s="31">
        <v>0</v>
      </c>
      <c r="P78" s="24" t="s">
        <v>32</v>
      </c>
    </row>
    <row r="79" spans="1:28" s="23" customFormat="1" ht="16.8" x14ac:dyDescent="0.3">
      <c r="A79" s="24">
        <v>55</v>
      </c>
      <c r="B79" s="95" t="s">
        <v>30</v>
      </c>
      <c r="C79" s="96"/>
      <c r="D79" s="30">
        <f>SUM(E79:O79)</f>
        <v>0</v>
      </c>
      <c r="E79" s="31">
        <f>E85</f>
        <v>0</v>
      </c>
      <c r="F79" s="31">
        <f>F85</f>
        <v>0</v>
      </c>
      <c r="G79" s="31">
        <f t="shared" ref="G79:O79" si="31">G85</f>
        <v>0</v>
      </c>
      <c r="H79" s="40">
        <f t="shared" si="31"/>
        <v>0</v>
      </c>
      <c r="I79" s="40">
        <f t="shared" si="31"/>
        <v>0</v>
      </c>
      <c r="J79" s="31">
        <f t="shared" si="31"/>
        <v>0</v>
      </c>
      <c r="K79" s="31">
        <f t="shared" si="31"/>
        <v>0</v>
      </c>
      <c r="L79" s="31">
        <f t="shared" si="31"/>
        <v>0</v>
      </c>
      <c r="M79" s="32">
        <f t="shared" si="31"/>
        <v>0</v>
      </c>
      <c r="N79" s="31">
        <f t="shared" si="31"/>
        <v>0</v>
      </c>
      <c r="O79" s="31">
        <f t="shared" si="31"/>
        <v>0</v>
      </c>
      <c r="P79" s="24" t="s">
        <v>32</v>
      </c>
    </row>
    <row r="80" spans="1:28" s="23" customFormat="1" ht="16.8" x14ac:dyDescent="0.3">
      <c r="A80" s="97" t="s">
        <v>48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98"/>
    </row>
    <row r="81" spans="1:28" s="23" customFormat="1" ht="55.5" customHeight="1" x14ac:dyDescent="0.3">
      <c r="A81" s="24">
        <v>56</v>
      </c>
      <c r="B81" s="97" t="s">
        <v>49</v>
      </c>
      <c r="C81" s="98"/>
      <c r="D81" s="30">
        <f>SUM(E81:O81)</f>
        <v>82145555.930000007</v>
      </c>
      <c r="E81" s="30">
        <f t="shared" ref="E81:O81" si="32">SUM(E82:E85)</f>
        <v>42562</v>
      </c>
      <c r="F81" s="30">
        <f t="shared" si="32"/>
        <v>0</v>
      </c>
      <c r="G81" s="30">
        <f t="shared" si="32"/>
        <v>1074858.5</v>
      </c>
      <c r="H81" s="30">
        <f t="shared" si="32"/>
        <v>629704</v>
      </c>
      <c r="I81" s="30">
        <f t="shared" si="32"/>
        <v>15422300</v>
      </c>
      <c r="J81" s="30">
        <f t="shared" si="32"/>
        <v>29865931.84</v>
      </c>
      <c r="K81" s="30">
        <f t="shared" si="32"/>
        <v>8721339.1900000013</v>
      </c>
      <c r="L81" s="30">
        <f t="shared" si="32"/>
        <v>26388860.400000002</v>
      </c>
      <c r="M81" s="37">
        <f t="shared" si="32"/>
        <v>0</v>
      </c>
      <c r="N81" s="30">
        <f t="shared" si="32"/>
        <v>0</v>
      </c>
      <c r="O81" s="30">
        <f t="shared" si="32"/>
        <v>0</v>
      </c>
      <c r="P81" s="24">
        <v>19.2</v>
      </c>
    </row>
    <row r="82" spans="1:28" s="23" customFormat="1" ht="16.8" x14ac:dyDescent="0.3">
      <c r="A82" s="24">
        <v>57</v>
      </c>
      <c r="B82" s="95" t="s">
        <v>47</v>
      </c>
      <c r="C82" s="96"/>
      <c r="D82" s="30">
        <f>SUM(E82:O82)</f>
        <v>0</v>
      </c>
      <c r="E82" s="31">
        <f t="shared" ref="E82:N82" si="33">E88</f>
        <v>0</v>
      </c>
      <c r="F82" s="31">
        <f t="shared" si="33"/>
        <v>0</v>
      </c>
      <c r="G82" s="31">
        <f t="shared" si="33"/>
        <v>0</v>
      </c>
      <c r="H82" s="40">
        <f t="shared" si="33"/>
        <v>0</v>
      </c>
      <c r="I82" s="40">
        <f t="shared" si="33"/>
        <v>0</v>
      </c>
      <c r="J82" s="31">
        <f t="shared" si="33"/>
        <v>0</v>
      </c>
      <c r="K82" s="31">
        <f t="shared" si="33"/>
        <v>0</v>
      </c>
      <c r="L82" s="31">
        <f t="shared" si="33"/>
        <v>0</v>
      </c>
      <c r="M82" s="32">
        <f t="shared" si="33"/>
        <v>0</v>
      </c>
      <c r="N82" s="31">
        <f t="shared" si="33"/>
        <v>0</v>
      </c>
      <c r="O82" s="31">
        <v>0</v>
      </c>
      <c r="P82" s="24" t="s">
        <v>25</v>
      </c>
    </row>
    <row r="83" spans="1:28" s="52" customFormat="1" ht="16.8" x14ac:dyDescent="0.3">
      <c r="A83" s="24">
        <v>58</v>
      </c>
      <c r="B83" s="95" t="s">
        <v>28</v>
      </c>
      <c r="C83" s="96"/>
      <c r="D83" s="30">
        <f>SUM(E83:O83)</f>
        <v>60621282.719999999</v>
      </c>
      <c r="E83" s="31">
        <f t="shared" ref="E83:G85" si="34">E89</f>
        <v>0</v>
      </c>
      <c r="F83" s="31">
        <f t="shared" si="34"/>
        <v>0</v>
      </c>
      <c r="G83" s="31">
        <f t="shared" si="34"/>
        <v>0</v>
      </c>
      <c r="H83" s="40">
        <v>0</v>
      </c>
      <c r="I83" s="40">
        <f t="shared" ref="I83:O84" si="35">I89</f>
        <v>12350000</v>
      </c>
      <c r="J83" s="31">
        <f t="shared" si="35"/>
        <v>22365851.84</v>
      </c>
      <c r="K83" s="31">
        <f t="shared" si="35"/>
        <v>4587865.4400000004</v>
      </c>
      <c r="L83" s="31">
        <f t="shared" si="35"/>
        <v>21317565.440000001</v>
      </c>
      <c r="M83" s="32">
        <f t="shared" si="35"/>
        <v>0</v>
      </c>
      <c r="N83" s="31">
        <f t="shared" si="35"/>
        <v>0</v>
      </c>
      <c r="O83" s="31">
        <f t="shared" si="35"/>
        <v>0</v>
      </c>
      <c r="P83" s="24" t="s">
        <v>25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 s="38" customFormat="1" ht="16.8" x14ac:dyDescent="0.3">
      <c r="A84" s="24">
        <v>59</v>
      </c>
      <c r="B84" s="95" t="s">
        <v>29</v>
      </c>
      <c r="C84" s="96"/>
      <c r="D84" s="30">
        <f>SUM(E84:O84)</f>
        <v>21524273.210000001</v>
      </c>
      <c r="E84" s="40">
        <f t="shared" si="34"/>
        <v>42562</v>
      </c>
      <c r="F84" s="40">
        <f t="shared" si="34"/>
        <v>0</v>
      </c>
      <c r="G84" s="40">
        <f t="shared" si="34"/>
        <v>1074858.5</v>
      </c>
      <c r="H84" s="40">
        <f>H90</f>
        <v>629704</v>
      </c>
      <c r="I84" s="40">
        <f t="shared" si="35"/>
        <v>3072300</v>
      </c>
      <c r="J84" s="31">
        <f t="shared" si="35"/>
        <v>7500080</v>
      </c>
      <c r="K84" s="31">
        <f t="shared" si="35"/>
        <v>4133473.75</v>
      </c>
      <c r="L84" s="31">
        <f t="shared" si="35"/>
        <v>5071294.96</v>
      </c>
      <c r="M84" s="32">
        <f t="shared" si="35"/>
        <v>0</v>
      </c>
      <c r="N84" s="31">
        <f t="shared" si="35"/>
        <v>0</v>
      </c>
      <c r="O84" s="31">
        <f t="shared" si="35"/>
        <v>0</v>
      </c>
      <c r="P84" s="24" t="s">
        <v>25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 s="23" customFormat="1" ht="16.8" x14ac:dyDescent="0.3">
      <c r="A85" s="24">
        <v>60</v>
      </c>
      <c r="B85" s="95" t="s">
        <v>30</v>
      </c>
      <c r="C85" s="96"/>
      <c r="D85" s="30">
        <f>SUM(E85:K85)</f>
        <v>0</v>
      </c>
      <c r="E85" s="31">
        <f t="shared" si="34"/>
        <v>0</v>
      </c>
      <c r="F85" s="31">
        <f t="shared" si="34"/>
        <v>0</v>
      </c>
      <c r="G85" s="31">
        <f t="shared" si="34"/>
        <v>0</v>
      </c>
      <c r="H85" s="40">
        <f>H91</f>
        <v>0</v>
      </c>
      <c r="I85" s="40">
        <f>I91</f>
        <v>0</v>
      </c>
      <c r="J85" s="31">
        <f>J91</f>
        <v>0</v>
      </c>
      <c r="K85" s="31">
        <f>K91</f>
        <v>0</v>
      </c>
      <c r="L85" s="31">
        <v>0</v>
      </c>
      <c r="M85" s="32">
        <v>0</v>
      </c>
      <c r="N85" s="31">
        <v>0</v>
      </c>
      <c r="O85" s="31">
        <v>0</v>
      </c>
      <c r="P85" s="24" t="s">
        <v>25</v>
      </c>
    </row>
    <row r="86" spans="1:28" s="23" customFormat="1" ht="16.8" x14ac:dyDescent="0.3">
      <c r="A86" s="132" t="s">
        <v>50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</row>
    <row r="87" spans="1:28" s="23" customFormat="1" ht="80.25" customHeight="1" x14ac:dyDescent="0.3">
      <c r="A87" s="24">
        <v>61</v>
      </c>
      <c r="B87" s="36" t="s">
        <v>51</v>
      </c>
      <c r="C87" s="24"/>
      <c r="D87" s="30">
        <f>SUM(E87:O87)</f>
        <v>82145555.930000007</v>
      </c>
      <c r="E87" s="30">
        <f t="shared" ref="E87:O87" si="36">SUM(E88:E91)</f>
        <v>42562</v>
      </c>
      <c r="F87" s="30">
        <f t="shared" si="36"/>
        <v>0</v>
      </c>
      <c r="G87" s="30">
        <f t="shared" si="36"/>
        <v>1074858.5</v>
      </c>
      <c r="H87" s="30">
        <f t="shared" si="36"/>
        <v>629704</v>
      </c>
      <c r="I87" s="30">
        <f t="shared" si="36"/>
        <v>15422300</v>
      </c>
      <c r="J87" s="30">
        <f t="shared" si="36"/>
        <v>29865931.84</v>
      </c>
      <c r="K87" s="30">
        <f t="shared" si="36"/>
        <v>8721339.1900000013</v>
      </c>
      <c r="L87" s="30">
        <f t="shared" si="36"/>
        <v>26388860.400000002</v>
      </c>
      <c r="M87" s="37">
        <f t="shared" si="36"/>
        <v>0</v>
      </c>
      <c r="N87" s="30">
        <f t="shared" si="36"/>
        <v>0</v>
      </c>
      <c r="O87" s="30">
        <f t="shared" si="36"/>
        <v>0</v>
      </c>
      <c r="P87" s="24">
        <v>19.2</v>
      </c>
    </row>
    <row r="88" spans="1:28" s="23" customFormat="1" ht="16.8" x14ac:dyDescent="0.3">
      <c r="A88" s="24">
        <v>62</v>
      </c>
      <c r="B88" s="95" t="s">
        <v>47</v>
      </c>
      <c r="C88" s="96"/>
      <c r="D88" s="30">
        <f>SUM(E88:O88)</f>
        <v>0</v>
      </c>
      <c r="E88" s="31">
        <f>E94+E100+E106</f>
        <v>0</v>
      </c>
      <c r="F88" s="31">
        <f>F94+F100+F106</f>
        <v>0</v>
      </c>
      <c r="G88" s="31">
        <f>G94+G100+G106</f>
        <v>0</v>
      </c>
      <c r="H88" s="40">
        <f>H94+H100+H106</f>
        <v>0</v>
      </c>
      <c r="I88" s="40">
        <f>I94+I100+I106</f>
        <v>0</v>
      </c>
      <c r="J88" s="31">
        <f>J106+J111</f>
        <v>0</v>
      </c>
      <c r="K88" s="31">
        <f>K94+K100+K106</f>
        <v>0</v>
      </c>
      <c r="L88" s="31">
        <v>0</v>
      </c>
      <c r="M88" s="32">
        <v>0</v>
      </c>
      <c r="N88" s="31">
        <v>0</v>
      </c>
      <c r="O88" s="30">
        <v>0</v>
      </c>
      <c r="P88" s="24" t="s">
        <v>25</v>
      </c>
    </row>
    <row r="89" spans="1:28" s="52" customFormat="1" ht="16.8" x14ac:dyDescent="0.3">
      <c r="A89" s="24">
        <v>63</v>
      </c>
      <c r="B89" s="95" t="s">
        <v>28</v>
      </c>
      <c r="C89" s="96"/>
      <c r="D89" s="30">
        <f>SUM(E89:O89)</f>
        <v>60621282.719999999</v>
      </c>
      <c r="E89" s="31">
        <f t="shared" ref="E89:G91" si="37">E95+E101+E107</f>
        <v>0</v>
      </c>
      <c r="F89" s="31">
        <f t="shared" si="37"/>
        <v>0</v>
      </c>
      <c r="G89" s="31">
        <f t="shared" si="37"/>
        <v>0</v>
      </c>
      <c r="H89" s="40">
        <v>0</v>
      </c>
      <c r="I89" s="40">
        <f>I95+I101+I107</f>
        <v>12350000</v>
      </c>
      <c r="J89" s="31">
        <f>J95+J101+J107</f>
        <v>22365851.84</v>
      </c>
      <c r="K89" s="31">
        <f>K95+K101+K107</f>
        <v>4587865.4400000004</v>
      </c>
      <c r="L89" s="31">
        <f>L95+L101+L107</f>
        <v>21317565.440000001</v>
      </c>
      <c r="M89" s="32">
        <v>0</v>
      </c>
      <c r="N89" s="31">
        <v>0</v>
      </c>
      <c r="O89" s="30">
        <v>0</v>
      </c>
      <c r="P89" s="24" t="s">
        <v>25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 s="23" customFormat="1" ht="16.8" x14ac:dyDescent="0.3">
      <c r="A90" s="24">
        <v>64</v>
      </c>
      <c r="B90" s="95" t="s">
        <v>29</v>
      </c>
      <c r="C90" s="96"/>
      <c r="D90" s="30">
        <f>SUM(E90:O90)</f>
        <v>21524273.210000001</v>
      </c>
      <c r="E90" s="31">
        <f t="shared" si="37"/>
        <v>42562</v>
      </c>
      <c r="F90" s="31">
        <f t="shared" si="37"/>
        <v>0</v>
      </c>
      <c r="G90" s="31">
        <f t="shared" si="37"/>
        <v>1074858.5</v>
      </c>
      <c r="H90" s="40">
        <f>H108</f>
        <v>629704</v>
      </c>
      <c r="I90" s="40">
        <f>I96+I102+I108</f>
        <v>3072300</v>
      </c>
      <c r="J90" s="31">
        <f>J96+J102+J108+J113</f>
        <v>7500080</v>
      </c>
      <c r="K90" s="31">
        <f>K96+K102+K108</f>
        <v>4133473.75</v>
      </c>
      <c r="L90" s="31">
        <f>L96+L102+L108+L130</f>
        <v>5071294.96</v>
      </c>
      <c r="M90" s="32">
        <f>M96+M102+M108</f>
        <v>0</v>
      </c>
      <c r="N90" s="31">
        <f>N96+N102+N108</f>
        <v>0</v>
      </c>
      <c r="O90" s="31">
        <f>O96+O102+O108</f>
        <v>0</v>
      </c>
      <c r="P90" s="24" t="s">
        <v>25</v>
      </c>
    </row>
    <row r="91" spans="1:28" s="23" customFormat="1" ht="16.8" x14ac:dyDescent="0.3">
      <c r="A91" s="24">
        <v>65</v>
      </c>
      <c r="B91" s="95" t="s">
        <v>30</v>
      </c>
      <c r="C91" s="96"/>
      <c r="D91" s="30">
        <f>SUM(E91:O91)</f>
        <v>0</v>
      </c>
      <c r="E91" s="31">
        <f t="shared" si="37"/>
        <v>0</v>
      </c>
      <c r="F91" s="31">
        <f t="shared" si="37"/>
        <v>0</v>
      </c>
      <c r="G91" s="31">
        <f t="shared" si="37"/>
        <v>0</v>
      </c>
      <c r="H91" s="40">
        <f>H97+H103+H109</f>
        <v>0</v>
      </c>
      <c r="I91" s="40">
        <f>I97+I103+I109</f>
        <v>0</v>
      </c>
      <c r="J91" s="31">
        <f>J97+J103+J109</f>
        <v>0</v>
      </c>
      <c r="K91" s="31">
        <f>K97+K103+K109</f>
        <v>0</v>
      </c>
      <c r="L91" s="31">
        <v>0</v>
      </c>
      <c r="M91" s="32">
        <v>0</v>
      </c>
      <c r="N91" s="31">
        <v>0</v>
      </c>
      <c r="O91" s="31">
        <v>0</v>
      </c>
      <c r="P91" s="24" t="s">
        <v>25</v>
      </c>
    </row>
    <row r="92" spans="1:28" s="23" customFormat="1" ht="16.8" x14ac:dyDescent="0.3">
      <c r="A92" s="83">
        <v>66</v>
      </c>
      <c r="B92" s="99" t="s">
        <v>52</v>
      </c>
      <c r="C92" s="100"/>
      <c r="D92" s="103">
        <f>SUM(E92:O93)</f>
        <v>1117420.5</v>
      </c>
      <c r="E92" s="103">
        <f t="shared" ref="E92:O92" si="38">SUM(E94:E97)</f>
        <v>42562</v>
      </c>
      <c r="F92" s="103">
        <f t="shared" si="38"/>
        <v>0</v>
      </c>
      <c r="G92" s="103">
        <f t="shared" si="38"/>
        <v>1074858.5</v>
      </c>
      <c r="H92" s="103">
        <f t="shared" si="38"/>
        <v>0</v>
      </c>
      <c r="I92" s="103">
        <f t="shared" si="38"/>
        <v>0</v>
      </c>
      <c r="J92" s="103">
        <f t="shared" si="38"/>
        <v>0</v>
      </c>
      <c r="K92" s="103">
        <f t="shared" si="38"/>
        <v>0</v>
      </c>
      <c r="L92" s="103">
        <f t="shared" si="38"/>
        <v>0</v>
      </c>
      <c r="M92" s="89">
        <f t="shared" si="38"/>
        <v>0</v>
      </c>
      <c r="N92" s="103">
        <f t="shared" si="38"/>
        <v>0</v>
      </c>
      <c r="O92" s="103">
        <f t="shared" si="38"/>
        <v>0</v>
      </c>
      <c r="P92" s="81" t="s">
        <v>34</v>
      </c>
    </row>
    <row r="93" spans="1:28" s="23" customFormat="1" ht="40.5" customHeight="1" x14ac:dyDescent="0.3">
      <c r="A93" s="84"/>
      <c r="B93" s="101" t="s">
        <v>53</v>
      </c>
      <c r="C93" s="102"/>
      <c r="D93" s="104"/>
      <c r="E93" s="104"/>
      <c r="F93" s="104"/>
      <c r="G93" s="104"/>
      <c r="H93" s="104"/>
      <c r="I93" s="104"/>
      <c r="J93" s="104"/>
      <c r="K93" s="104"/>
      <c r="L93" s="104"/>
      <c r="M93" s="90"/>
      <c r="N93" s="104"/>
      <c r="O93" s="104"/>
      <c r="P93" s="82"/>
    </row>
    <row r="94" spans="1:28" s="23" customFormat="1" ht="16.8" x14ac:dyDescent="0.3">
      <c r="A94" s="27">
        <v>67</v>
      </c>
      <c r="B94" s="95" t="s">
        <v>47</v>
      </c>
      <c r="C94" s="96"/>
      <c r="D94" s="30">
        <f>SUM(E94:O94)</f>
        <v>0</v>
      </c>
      <c r="E94" s="31">
        <v>0</v>
      </c>
      <c r="F94" s="31">
        <v>0</v>
      </c>
      <c r="G94" s="31">
        <v>0</v>
      </c>
      <c r="H94" s="40">
        <v>0</v>
      </c>
      <c r="I94" s="40">
        <v>0</v>
      </c>
      <c r="J94" s="31">
        <v>0</v>
      </c>
      <c r="K94" s="31">
        <v>0</v>
      </c>
      <c r="L94" s="31">
        <v>0</v>
      </c>
      <c r="M94" s="32">
        <v>0</v>
      </c>
      <c r="N94" s="31">
        <v>0</v>
      </c>
      <c r="O94" s="31">
        <v>0</v>
      </c>
      <c r="P94" s="24" t="s">
        <v>25</v>
      </c>
    </row>
    <row r="95" spans="1:28" s="23" customFormat="1" ht="16.8" x14ac:dyDescent="0.3">
      <c r="A95" s="27">
        <v>68</v>
      </c>
      <c r="B95" s="95" t="s">
        <v>28</v>
      </c>
      <c r="C95" s="96"/>
      <c r="D95" s="30">
        <f>SUM(E95:O95)</f>
        <v>0</v>
      </c>
      <c r="E95" s="31">
        <v>0</v>
      </c>
      <c r="F95" s="31">
        <v>0</v>
      </c>
      <c r="G95" s="31">
        <v>0</v>
      </c>
      <c r="H95" s="40">
        <v>0</v>
      </c>
      <c r="I95" s="40">
        <v>0</v>
      </c>
      <c r="J95" s="31">
        <v>0</v>
      </c>
      <c r="K95" s="31">
        <v>0</v>
      </c>
      <c r="L95" s="31">
        <v>0</v>
      </c>
      <c r="M95" s="32">
        <v>0</v>
      </c>
      <c r="N95" s="31">
        <v>0</v>
      </c>
      <c r="O95" s="31">
        <v>0</v>
      </c>
      <c r="P95" s="24" t="s">
        <v>25</v>
      </c>
    </row>
    <row r="96" spans="1:28" s="23" customFormat="1" ht="16.8" x14ac:dyDescent="0.3">
      <c r="A96" s="27">
        <v>69</v>
      </c>
      <c r="B96" s="95" t="s">
        <v>29</v>
      </c>
      <c r="C96" s="96"/>
      <c r="D96" s="30">
        <f>SUM(E96:O96)</f>
        <v>1117420.5</v>
      </c>
      <c r="E96" s="31">
        <v>42562</v>
      </c>
      <c r="F96" s="31">
        <v>0</v>
      </c>
      <c r="G96" s="31">
        <v>1074858.5</v>
      </c>
      <c r="H96" s="31">
        <v>0</v>
      </c>
      <c r="I96" s="40">
        <v>0</v>
      </c>
      <c r="J96" s="31">
        <v>0</v>
      </c>
      <c r="K96" s="31">
        <v>0</v>
      </c>
      <c r="L96" s="31">
        <v>0</v>
      </c>
      <c r="M96" s="32">
        <v>0</v>
      </c>
      <c r="N96" s="31">
        <v>0</v>
      </c>
      <c r="O96" s="31">
        <v>0</v>
      </c>
      <c r="P96" s="24" t="s">
        <v>25</v>
      </c>
    </row>
    <row r="97" spans="1:16" s="23" customFormat="1" ht="16.8" x14ac:dyDescent="0.3">
      <c r="A97" s="27">
        <v>70</v>
      </c>
      <c r="B97" s="95" t="s">
        <v>30</v>
      </c>
      <c r="C97" s="96"/>
      <c r="D97" s="30">
        <f>SUM(E97:O97)</f>
        <v>0</v>
      </c>
      <c r="E97" s="31">
        <v>0</v>
      </c>
      <c r="F97" s="31">
        <v>0</v>
      </c>
      <c r="G97" s="31">
        <v>0</v>
      </c>
      <c r="H97" s="40">
        <v>0</v>
      </c>
      <c r="I97" s="40">
        <v>0</v>
      </c>
      <c r="J97" s="31">
        <v>0</v>
      </c>
      <c r="K97" s="31">
        <v>0</v>
      </c>
      <c r="L97" s="31">
        <v>0</v>
      </c>
      <c r="M97" s="32">
        <v>0</v>
      </c>
      <c r="N97" s="31">
        <v>0</v>
      </c>
      <c r="O97" s="31">
        <v>0</v>
      </c>
      <c r="P97" s="24" t="s">
        <v>25</v>
      </c>
    </row>
    <row r="98" spans="1:16" s="23" customFormat="1" ht="26.25" customHeight="1" x14ac:dyDescent="0.3">
      <c r="A98" s="81">
        <v>71</v>
      </c>
      <c r="B98" s="42" t="s">
        <v>40</v>
      </c>
      <c r="C98" s="54"/>
      <c r="D98" s="103">
        <f>SUM(E98:O99)</f>
        <v>0</v>
      </c>
      <c r="E98" s="103">
        <f t="shared" ref="E98:K98" si="39">SUM(E100:E103)</f>
        <v>0</v>
      </c>
      <c r="F98" s="103">
        <f t="shared" si="39"/>
        <v>0</v>
      </c>
      <c r="G98" s="103">
        <f t="shared" si="39"/>
        <v>0</v>
      </c>
      <c r="H98" s="106">
        <f t="shared" si="39"/>
        <v>0</v>
      </c>
      <c r="I98" s="106">
        <f t="shared" si="39"/>
        <v>0</v>
      </c>
      <c r="J98" s="103">
        <f t="shared" si="39"/>
        <v>0</v>
      </c>
      <c r="K98" s="103">
        <f t="shared" si="39"/>
        <v>0</v>
      </c>
      <c r="L98" s="113">
        <v>0</v>
      </c>
      <c r="M98" s="115">
        <v>0</v>
      </c>
      <c r="N98" s="113">
        <v>0</v>
      </c>
      <c r="O98" s="113">
        <v>0</v>
      </c>
      <c r="P98" s="81" t="s">
        <v>54</v>
      </c>
    </row>
    <row r="99" spans="1:16" s="23" customFormat="1" ht="87.75" customHeight="1" x14ac:dyDescent="0.3">
      <c r="A99" s="82"/>
      <c r="B99" s="43" t="s">
        <v>55</v>
      </c>
      <c r="C99" s="54"/>
      <c r="D99" s="104"/>
      <c r="E99" s="104"/>
      <c r="F99" s="104"/>
      <c r="G99" s="104"/>
      <c r="H99" s="107"/>
      <c r="I99" s="107"/>
      <c r="J99" s="104"/>
      <c r="K99" s="104"/>
      <c r="L99" s="114"/>
      <c r="M99" s="116"/>
      <c r="N99" s="114"/>
      <c r="O99" s="114"/>
      <c r="P99" s="82"/>
    </row>
    <row r="100" spans="1:16" s="23" customFormat="1" ht="16.8" x14ac:dyDescent="0.3">
      <c r="A100" s="24">
        <v>72</v>
      </c>
      <c r="B100" s="93" t="s">
        <v>47</v>
      </c>
      <c r="C100" s="94"/>
      <c r="D100" s="30">
        <f>SUM(E100:K100)</f>
        <v>0</v>
      </c>
      <c r="E100" s="31">
        <v>0</v>
      </c>
      <c r="F100" s="31">
        <v>0</v>
      </c>
      <c r="G100" s="31">
        <v>0</v>
      </c>
      <c r="H100" s="40">
        <v>0</v>
      </c>
      <c r="I100" s="40">
        <v>0</v>
      </c>
      <c r="J100" s="31">
        <v>0</v>
      </c>
      <c r="K100" s="31">
        <v>0</v>
      </c>
      <c r="L100" s="31">
        <v>0</v>
      </c>
      <c r="M100" s="32">
        <v>0</v>
      </c>
      <c r="N100" s="31">
        <v>0</v>
      </c>
      <c r="O100" s="31">
        <v>0</v>
      </c>
      <c r="P100" s="24" t="s">
        <v>32</v>
      </c>
    </row>
    <row r="101" spans="1:16" s="23" customFormat="1" ht="16.8" x14ac:dyDescent="0.3">
      <c r="A101" s="24">
        <v>73</v>
      </c>
      <c r="B101" s="95" t="s">
        <v>28</v>
      </c>
      <c r="C101" s="96"/>
      <c r="D101" s="30">
        <f>SUM(E101:K101)</f>
        <v>0</v>
      </c>
      <c r="E101" s="31">
        <v>0</v>
      </c>
      <c r="F101" s="31">
        <v>0</v>
      </c>
      <c r="G101" s="31">
        <v>0</v>
      </c>
      <c r="H101" s="40">
        <v>0</v>
      </c>
      <c r="I101" s="40">
        <v>0</v>
      </c>
      <c r="J101" s="31">
        <v>0</v>
      </c>
      <c r="K101" s="31">
        <v>0</v>
      </c>
      <c r="L101" s="31">
        <v>0</v>
      </c>
      <c r="M101" s="32">
        <v>0</v>
      </c>
      <c r="N101" s="31">
        <v>0</v>
      </c>
      <c r="O101" s="31">
        <v>0</v>
      </c>
      <c r="P101" s="24" t="s">
        <v>25</v>
      </c>
    </row>
    <row r="102" spans="1:16" s="23" customFormat="1" ht="16.8" x14ac:dyDescent="0.3">
      <c r="A102" s="24">
        <v>74</v>
      </c>
      <c r="B102" s="95" t="s">
        <v>29</v>
      </c>
      <c r="C102" s="96"/>
      <c r="D102" s="30">
        <f>SUM(E102:K102)</f>
        <v>0</v>
      </c>
      <c r="E102" s="31">
        <v>0</v>
      </c>
      <c r="F102" s="31">
        <v>0</v>
      </c>
      <c r="G102" s="31">
        <v>0</v>
      </c>
      <c r="H102" s="40">
        <v>0</v>
      </c>
      <c r="I102" s="40">
        <v>0</v>
      </c>
      <c r="J102" s="31">
        <v>0</v>
      </c>
      <c r="K102" s="31">
        <v>0</v>
      </c>
      <c r="L102" s="31">
        <v>0</v>
      </c>
      <c r="M102" s="32">
        <v>0</v>
      </c>
      <c r="N102" s="31">
        <v>0</v>
      </c>
      <c r="O102" s="31">
        <v>0</v>
      </c>
      <c r="P102" s="24" t="s">
        <v>25</v>
      </c>
    </row>
    <row r="103" spans="1:16" s="23" customFormat="1" ht="16.8" x14ac:dyDescent="0.3">
      <c r="A103" s="24">
        <v>75</v>
      </c>
      <c r="B103" s="95" t="s">
        <v>30</v>
      </c>
      <c r="C103" s="96"/>
      <c r="D103" s="30">
        <f>SUM(E103:K103)</f>
        <v>0</v>
      </c>
      <c r="E103" s="31">
        <v>0</v>
      </c>
      <c r="F103" s="31">
        <v>0</v>
      </c>
      <c r="G103" s="31">
        <v>0</v>
      </c>
      <c r="H103" s="40">
        <v>0</v>
      </c>
      <c r="I103" s="40">
        <v>0</v>
      </c>
      <c r="J103" s="31">
        <v>0</v>
      </c>
      <c r="K103" s="31">
        <v>0</v>
      </c>
      <c r="L103" s="31">
        <v>0</v>
      </c>
      <c r="M103" s="32">
        <v>0</v>
      </c>
      <c r="N103" s="31">
        <v>0</v>
      </c>
      <c r="O103" s="31">
        <v>0</v>
      </c>
      <c r="P103" s="24" t="s">
        <v>25</v>
      </c>
    </row>
    <row r="104" spans="1:16" s="23" customFormat="1" ht="20.25" customHeight="1" x14ac:dyDescent="0.3">
      <c r="A104" s="83">
        <v>76</v>
      </c>
      <c r="B104" s="42" t="s">
        <v>56</v>
      </c>
      <c r="C104" s="54"/>
      <c r="D104" s="103">
        <f>SUM(E104:O105)</f>
        <v>72458652.430000007</v>
      </c>
      <c r="E104" s="103">
        <f t="shared" ref="E104:O104" si="40">SUM(E106:E109)</f>
        <v>0</v>
      </c>
      <c r="F104" s="103">
        <f t="shared" si="40"/>
        <v>0</v>
      </c>
      <c r="G104" s="103">
        <f t="shared" si="40"/>
        <v>0</v>
      </c>
      <c r="H104" s="103">
        <f t="shared" si="40"/>
        <v>629704</v>
      </c>
      <c r="I104" s="103">
        <f t="shared" si="40"/>
        <v>15422300</v>
      </c>
      <c r="J104" s="103">
        <f t="shared" si="40"/>
        <v>24288651.84</v>
      </c>
      <c r="K104" s="103">
        <f t="shared" si="40"/>
        <v>8721339.1900000013</v>
      </c>
      <c r="L104" s="103">
        <f t="shared" si="40"/>
        <v>23396657.400000002</v>
      </c>
      <c r="M104" s="89">
        <f t="shared" si="40"/>
        <v>0</v>
      </c>
      <c r="N104" s="103">
        <f t="shared" si="40"/>
        <v>0</v>
      </c>
      <c r="O104" s="103">
        <f t="shared" si="40"/>
        <v>0</v>
      </c>
      <c r="P104" s="81" t="s">
        <v>54</v>
      </c>
    </row>
    <row r="105" spans="1:16" s="23" customFormat="1" ht="47.25" customHeight="1" x14ac:dyDescent="0.3">
      <c r="A105" s="84"/>
      <c r="B105" s="43" t="s">
        <v>57</v>
      </c>
      <c r="C105" s="54"/>
      <c r="D105" s="104"/>
      <c r="E105" s="104"/>
      <c r="F105" s="104"/>
      <c r="G105" s="104"/>
      <c r="H105" s="104"/>
      <c r="I105" s="104"/>
      <c r="J105" s="104"/>
      <c r="K105" s="104"/>
      <c r="L105" s="104"/>
      <c r="M105" s="90"/>
      <c r="N105" s="104"/>
      <c r="O105" s="104"/>
      <c r="P105" s="82"/>
    </row>
    <row r="106" spans="1:16" s="23" customFormat="1" ht="16.8" x14ac:dyDescent="0.3">
      <c r="A106" s="24">
        <v>77</v>
      </c>
      <c r="B106" s="93" t="s">
        <v>47</v>
      </c>
      <c r="C106" s="94"/>
      <c r="D106" s="30">
        <f t="shared" ref="D106:D113" si="41">SUM(E106:O106)</f>
        <v>0</v>
      </c>
      <c r="E106" s="31">
        <v>0</v>
      </c>
      <c r="F106" s="31">
        <v>0</v>
      </c>
      <c r="G106" s="31">
        <v>0</v>
      </c>
      <c r="H106" s="40">
        <v>0</v>
      </c>
      <c r="I106" s="40">
        <v>0</v>
      </c>
      <c r="J106" s="31">
        <v>0</v>
      </c>
      <c r="K106" s="31">
        <v>0</v>
      </c>
      <c r="L106" s="31">
        <v>0</v>
      </c>
      <c r="M106" s="32">
        <v>0</v>
      </c>
      <c r="N106" s="31">
        <v>0</v>
      </c>
      <c r="O106" s="31">
        <v>0</v>
      </c>
      <c r="P106" s="24" t="s">
        <v>25</v>
      </c>
    </row>
    <row r="107" spans="1:16" s="23" customFormat="1" ht="16.8" x14ac:dyDescent="0.3">
      <c r="A107" s="24">
        <v>78</v>
      </c>
      <c r="B107" s="95" t="s">
        <v>28</v>
      </c>
      <c r="C107" s="96"/>
      <c r="D107" s="30">
        <f t="shared" si="41"/>
        <v>60621282.719999999</v>
      </c>
      <c r="E107" s="31">
        <v>0</v>
      </c>
      <c r="F107" s="31">
        <v>0</v>
      </c>
      <c r="G107" s="31">
        <v>0</v>
      </c>
      <c r="H107" s="40">
        <v>0</v>
      </c>
      <c r="I107" s="40">
        <v>12350000</v>
      </c>
      <c r="J107" s="31">
        <f>11250000+5765900+10061551.84+288400-5000000</f>
        <v>22365851.84</v>
      </c>
      <c r="K107" s="31">
        <v>4587865.4400000004</v>
      </c>
      <c r="L107" s="31">
        <f>18175800+3141765.44</f>
        <v>21317565.440000001</v>
      </c>
      <c r="M107" s="32">
        <v>0</v>
      </c>
      <c r="N107" s="31">
        <v>0</v>
      </c>
      <c r="O107" s="31">
        <v>0</v>
      </c>
      <c r="P107" s="24" t="s">
        <v>25</v>
      </c>
    </row>
    <row r="108" spans="1:16" s="23" customFormat="1" ht="16.8" x14ac:dyDescent="0.3">
      <c r="A108" s="24">
        <v>79</v>
      </c>
      <c r="B108" s="95" t="s">
        <v>29</v>
      </c>
      <c r="C108" s="96"/>
      <c r="D108" s="30">
        <f t="shared" si="41"/>
        <v>11837369.710000001</v>
      </c>
      <c r="E108" s="31">
        <v>0</v>
      </c>
      <c r="F108" s="31">
        <v>0</v>
      </c>
      <c r="G108" s="31">
        <v>0</v>
      </c>
      <c r="H108" s="40">
        <f>1900000-121786-48428-233579-866503</f>
        <v>629704</v>
      </c>
      <c r="I108" s="40">
        <v>3072300</v>
      </c>
      <c r="J108" s="31">
        <f>1250000+640700+32100</f>
        <v>1922800</v>
      </c>
      <c r="K108" s="31">
        <f>500000+1682416.38+7251057.37-300000-4544176-455824</f>
        <v>4133473.75</v>
      </c>
      <c r="L108" s="31">
        <f>2632361-100000-2532361+2019500+59591.96</f>
        <v>2079091.96</v>
      </c>
      <c r="M108" s="32">
        <v>0</v>
      </c>
      <c r="N108" s="31">
        <v>0</v>
      </c>
      <c r="O108" s="31">
        <v>0</v>
      </c>
      <c r="P108" s="24" t="s">
        <v>25</v>
      </c>
    </row>
    <row r="109" spans="1:16" s="23" customFormat="1" ht="16.8" x14ac:dyDescent="0.3">
      <c r="A109" s="24">
        <v>80</v>
      </c>
      <c r="B109" s="95" t="s">
        <v>30</v>
      </c>
      <c r="C109" s="96"/>
      <c r="D109" s="30">
        <f t="shared" si="41"/>
        <v>0</v>
      </c>
      <c r="E109" s="31">
        <v>0</v>
      </c>
      <c r="F109" s="31">
        <v>0</v>
      </c>
      <c r="G109" s="31">
        <v>0</v>
      </c>
      <c r="H109" s="40">
        <v>0</v>
      </c>
      <c r="I109" s="40">
        <v>0</v>
      </c>
      <c r="J109" s="31">
        <v>0</v>
      </c>
      <c r="K109" s="31">
        <v>0</v>
      </c>
      <c r="L109" s="31">
        <v>0</v>
      </c>
      <c r="M109" s="32">
        <v>0</v>
      </c>
      <c r="N109" s="31">
        <v>0</v>
      </c>
      <c r="O109" s="31">
        <v>0</v>
      </c>
      <c r="P109" s="24" t="s">
        <v>25</v>
      </c>
    </row>
    <row r="110" spans="1:16" s="23" customFormat="1" ht="93" customHeight="1" x14ac:dyDescent="0.3">
      <c r="A110" s="24">
        <v>81</v>
      </c>
      <c r="B110" s="51" t="s">
        <v>58</v>
      </c>
      <c r="C110" s="30"/>
      <c r="D110" s="30">
        <f t="shared" si="41"/>
        <v>5577280</v>
      </c>
      <c r="E110" s="31">
        <f t="shared" ref="E110:O110" si="42">SUM(E111:E113)</f>
        <v>0</v>
      </c>
      <c r="F110" s="31">
        <f t="shared" si="42"/>
        <v>0</v>
      </c>
      <c r="G110" s="31">
        <f t="shared" si="42"/>
        <v>0</v>
      </c>
      <c r="H110" s="31">
        <f t="shared" si="42"/>
        <v>0</v>
      </c>
      <c r="I110" s="31">
        <f t="shared" si="42"/>
        <v>0</v>
      </c>
      <c r="J110" s="31">
        <f t="shared" si="42"/>
        <v>5577280</v>
      </c>
      <c r="K110" s="31">
        <f t="shared" si="42"/>
        <v>0</v>
      </c>
      <c r="L110" s="31">
        <f t="shared" si="42"/>
        <v>0</v>
      </c>
      <c r="M110" s="32">
        <f t="shared" si="42"/>
        <v>0</v>
      </c>
      <c r="N110" s="31">
        <f t="shared" si="42"/>
        <v>0</v>
      </c>
      <c r="O110" s="31">
        <f t="shared" si="42"/>
        <v>0</v>
      </c>
      <c r="P110" s="24" t="s">
        <v>34</v>
      </c>
    </row>
    <row r="111" spans="1:16" s="23" customFormat="1" ht="16.8" x14ac:dyDescent="0.3">
      <c r="A111" s="24">
        <v>82</v>
      </c>
      <c r="B111" s="35" t="s">
        <v>59</v>
      </c>
      <c r="C111" s="30"/>
      <c r="D111" s="30">
        <f t="shared" si="41"/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31">
        <v>0</v>
      </c>
      <c r="O111" s="31">
        <v>0</v>
      </c>
      <c r="P111" s="24" t="s">
        <v>32</v>
      </c>
    </row>
    <row r="112" spans="1:16" s="23" customFormat="1" ht="16.8" x14ac:dyDescent="0.3">
      <c r="A112" s="24">
        <v>83</v>
      </c>
      <c r="B112" s="35" t="s">
        <v>28</v>
      </c>
      <c r="C112" s="30"/>
      <c r="D112" s="30">
        <f t="shared" si="41"/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2">
        <v>0</v>
      </c>
      <c r="N112" s="31">
        <v>0</v>
      </c>
      <c r="O112" s="31">
        <v>0</v>
      </c>
      <c r="P112" s="24" t="s">
        <v>32</v>
      </c>
    </row>
    <row r="113" spans="1:28" s="23" customFormat="1" ht="16.8" x14ac:dyDescent="0.3">
      <c r="A113" s="24">
        <v>84</v>
      </c>
      <c r="B113" s="35" t="s">
        <v>29</v>
      </c>
      <c r="C113" s="30"/>
      <c r="D113" s="30">
        <f t="shared" si="41"/>
        <v>5577280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5577280</v>
      </c>
      <c r="K113" s="31">
        <v>0</v>
      </c>
      <c r="L113" s="31">
        <v>0</v>
      </c>
      <c r="M113" s="32">
        <v>0</v>
      </c>
      <c r="N113" s="31">
        <v>0</v>
      </c>
      <c r="O113" s="31">
        <v>0</v>
      </c>
      <c r="P113" s="24">
        <v>0</v>
      </c>
    </row>
    <row r="114" spans="1:28" s="23" customFormat="1" ht="16.8" x14ac:dyDescent="0.3">
      <c r="A114" s="132" t="s">
        <v>60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4"/>
    </row>
    <row r="115" spans="1:28" s="23" customFormat="1" ht="72" customHeight="1" x14ac:dyDescent="0.3">
      <c r="A115" s="24">
        <v>85</v>
      </c>
      <c r="B115" s="36" t="s">
        <v>51</v>
      </c>
      <c r="C115" s="24"/>
      <c r="D115" s="30">
        <f>SUM(E115:O115)</f>
        <v>1361292.56</v>
      </c>
      <c r="E115" s="30">
        <f t="shared" ref="E115:O115" si="43">SUM(E116:E119)</f>
        <v>0</v>
      </c>
      <c r="F115" s="30">
        <f t="shared" si="43"/>
        <v>0</v>
      </c>
      <c r="G115" s="30">
        <f t="shared" si="43"/>
        <v>0</v>
      </c>
      <c r="H115" s="30">
        <f t="shared" si="43"/>
        <v>483765</v>
      </c>
      <c r="I115" s="30">
        <f t="shared" si="43"/>
        <v>377527.56000000006</v>
      </c>
      <c r="J115" s="30">
        <f t="shared" si="43"/>
        <v>500000</v>
      </c>
      <c r="K115" s="30">
        <f t="shared" si="43"/>
        <v>0</v>
      </c>
      <c r="L115" s="30">
        <f t="shared" si="43"/>
        <v>0</v>
      </c>
      <c r="M115" s="37">
        <f t="shared" si="43"/>
        <v>0</v>
      </c>
      <c r="N115" s="30">
        <f t="shared" si="43"/>
        <v>0</v>
      </c>
      <c r="O115" s="30">
        <f t="shared" si="43"/>
        <v>0</v>
      </c>
      <c r="P115" s="24">
        <v>19.2</v>
      </c>
    </row>
    <row r="116" spans="1:28" s="23" customFormat="1" ht="16.8" x14ac:dyDescent="0.3">
      <c r="A116" s="24">
        <v>86</v>
      </c>
      <c r="B116" s="95" t="s">
        <v>47</v>
      </c>
      <c r="C116" s="96"/>
      <c r="D116" s="30">
        <f>SUM(E116:O116)</f>
        <v>0</v>
      </c>
      <c r="E116" s="31">
        <f t="shared" ref="E116:O116" si="44">E122</f>
        <v>0</v>
      </c>
      <c r="F116" s="31">
        <f t="shared" si="44"/>
        <v>0</v>
      </c>
      <c r="G116" s="31">
        <f t="shared" si="44"/>
        <v>0</v>
      </c>
      <c r="H116" s="31">
        <f t="shared" si="44"/>
        <v>0</v>
      </c>
      <c r="I116" s="31">
        <f t="shared" si="44"/>
        <v>0</v>
      </c>
      <c r="J116" s="31">
        <f t="shared" si="44"/>
        <v>0</v>
      </c>
      <c r="K116" s="31">
        <f t="shared" si="44"/>
        <v>0</v>
      </c>
      <c r="L116" s="31">
        <f t="shared" si="44"/>
        <v>0</v>
      </c>
      <c r="M116" s="32">
        <f t="shared" si="44"/>
        <v>0</v>
      </c>
      <c r="N116" s="31">
        <f t="shared" si="44"/>
        <v>0</v>
      </c>
      <c r="O116" s="31">
        <f t="shared" si="44"/>
        <v>0</v>
      </c>
      <c r="P116" s="24" t="s">
        <v>25</v>
      </c>
    </row>
    <row r="117" spans="1:28" s="52" customFormat="1" ht="16.8" x14ac:dyDescent="0.3">
      <c r="A117" s="24">
        <v>87</v>
      </c>
      <c r="B117" s="95" t="s">
        <v>28</v>
      </c>
      <c r="C117" s="96"/>
      <c r="D117" s="30">
        <f>SUM(E117:O117)</f>
        <v>254500</v>
      </c>
      <c r="E117" s="31">
        <f t="shared" ref="E117:O117" si="45">E123</f>
        <v>0</v>
      </c>
      <c r="F117" s="31">
        <f t="shared" si="45"/>
        <v>0</v>
      </c>
      <c r="G117" s="31">
        <f t="shared" si="45"/>
        <v>0</v>
      </c>
      <c r="H117" s="31">
        <f t="shared" si="45"/>
        <v>128400</v>
      </c>
      <c r="I117" s="31">
        <f t="shared" si="45"/>
        <v>126100</v>
      </c>
      <c r="J117" s="31">
        <f t="shared" si="45"/>
        <v>0</v>
      </c>
      <c r="K117" s="31">
        <f t="shared" si="45"/>
        <v>0</v>
      </c>
      <c r="L117" s="31">
        <f t="shared" si="45"/>
        <v>0</v>
      </c>
      <c r="M117" s="32">
        <f t="shared" si="45"/>
        <v>0</v>
      </c>
      <c r="N117" s="31">
        <f t="shared" si="45"/>
        <v>0</v>
      </c>
      <c r="O117" s="31">
        <f t="shared" si="45"/>
        <v>0</v>
      </c>
      <c r="P117" s="24" t="s">
        <v>25</v>
      </c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1:28" s="23" customFormat="1" ht="16.8" x14ac:dyDescent="0.3">
      <c r="A118" s="24">
        <v>88</v>
      </c>
      <c r="B118" s="95" t="s">
        <v>29</v>
      </c>
      <c r="C118" s="96"/>
      <c r="D118" s="30">
        <f>SUM(E118:O118)</f>
        <v>1106792.56</v>
      </c>
      <c r="E118" s="31">
        <f t="shared" ref="E118:O118" si="46">E124</f>
        <v>0</v>
      </c>
      <c r="F118" s="31">
        <f t="shared" si="46"/>
        <v>0</v>
      </c>
      <c r="G118" s="31">
        <f t="shared" si="46"/>
        <v>0</v>
      </c>
      <c r="H118" s="31">
        <f t="shared" si="46"/>
        <v>355365</v>
      </c>
      <c r="I118" s="31">
        <f t="shared" si="46"/>
        <v>251427.56000000003</v>
      </c>
      <c r="J118" s="31">
        <f t="shared" si="46"/>
        <v>500000</v>
      </c>
      <c r="K118" s="31">
        <f t="shared" si="46"/>
        <v>0</v>
      </c>
      <c r="L118" s="31">
        <f t="shared" si="46"/>
        <v>0</v>
      </c>
      <c r="M118" s="32">
        <f t="shared" si="46"/>
        <v>0</v>
      </c>
      <c r="N118" s="31">
        <f t="shared" si="46"/>
        <v>0</v>
      </c>
      <c r="O118" s="31">
        <f t="shared" si="46"/>
        <v>0</v>
      </c>
      <c r="P118" s="24" t="s">
        <v>25</v>
      </c>
    </row>
    <row r="119" spans="1:28" s="23" customFormat="1" ht="16.8" x14ac:dyDescent="0.3">
      <c r="A119" s="24">
        <v>89</v>
      </c>
      <c r="B119" s="95" t="s">
        <v>30</v>
      </c>
      <c r="C119" s="96"/>
      <c r="D119" s="30">
        <f>SUM(E119:O119)</f>
        <v>0</v>
      </c>
      <c r="E119" s="31">
        <f t="shared" ref="E119:O119" si="47">E125</f>
        <v>0</v>
      </c>
      <c r="F119" s="31">
        <f t="shared" si="47"/>
        <v>0</v>
      </c>
      <c r="G119" s="31">
        <f t="shared" si="47"/>
        <v>0</v>
      </c>
      <c r="H119" s="31">
        <f t="shared" si="47"/>
        <v>0</v>
      </c>
      <c r="I119" s="31">
        <f t="shared" si="47"/>
        <v>0</v>
      </c>
      <c r="J119" s="31">
        <f t="shared" si="47"/>
        <v>0</v>
      </c>
      <c r="K119" s="31">
        <f t="shared" si="47"/>
        <v>0</v>
      </c>
      <c r="L119" s="31">
        <f t="shared" si="47"/>
        <v>0</v>
      </c>
      <c r="M119" s="32">
        <f t="shared" si="47"/>
        <v>0</v>
      </c>
      <c r="N119" s="31">
        <f t="shared" si="47"/>
        <v>0</v>
      </c>
      <c r="O119" s="31">
        <f t="shared" si="47"/>
        <v>0</v>
      </c>
      <c r="P119" s="24" t="s">
        <v>25</v>
      </c>
    </row>
    <row r="120" spans="1:28" s="23" customFormat="1" ht="15" customHeight="1" x14ac:dyDescent="0.3">
      <c r="A120" s="83">
        <v>90</v>
      </c>
      <c r="B120" s="42" t="s">
        <v>61</v>
      </c>
      <c r="C120" s="54"/>
      <c r="D120" s="103">
        <f>SUM(E120:O121)</f>
        <v>1361292.56</v>
      </c>
      <c r="E120" s="103">
        <f t="shared" ref="E120:O120" si="48">SUM(E122:E125)</f>
        <v>0</v>
      </c>
      <c r="F120" s="103">
        <f t="shared" si="48"/>
        <v>0</v>
      </c>
      <c r="G120" s="103">
        <f t="shared" si="48"/>
        <v>0</v>
      </c>
      <c r="H120" s="103">
        <f t="shared" si="48"/>
        <v>483765</v>
      </c>
      <c r="I120" s="103">
        <f t="shared" si="48"/>
        <v>377527.56000000006</v>
      </c>
      <c r="J120" s="103">
        <f t="shared" si="48"/>
        <v>500000</v>
      </c>
      <c r="K120" s="103">
        <f t="shared" si="48"/>
        <v>0</v>
      </c>
      <c r="L120" s="103">
        <f t="shared" si="48"/>
        <v>0</v>
      </c>
      <c r="M120" s="89">
        <f t="shared" si="48"/>
        <v>0</v>
      </c>
      <c r="N120" s="103">
        <f t="shared" si="48"/>
        <v>0</v>
      </c>
      <c r="O120" s="103">
        <f t="shared" si="48"/>
        <v>0</v>
      </c>
      <c r="P120" s="81" t="s">
        <v>54</v>
      </c>
    </row>
    <row r="121" spans="1:28" s="23" customFormat="1" ht="60" customHeight="1" x14ac:dyDescent="0.3">
      <c r="A121" s="84"/>
      <c r="B121" s="43" t="s">
        <v>62</v>
      </c>
      <c r="C121" s="54"/>
      <c r="D121" s="104"/>
      <c r="E121" s="104"/>
      <c r="F121" s="104"/>
      <c r="G121" s="104"/>
      <c r="H121" s="104"/>
      <c r="I121" s="104"/>
      <c r="J121" s="104"/>
      <c r="K121" s="104"/>
      <c r="L121" s="104"/>
      <c r="M121" s="90"/>
      <c r="N121" s="104"/>
      <c r="O121" s="104"/>
      <c r="P121" s="82"/>
    </row>
    <row r="122" spans="1:28" s="23" customFormat="1" ht="16.8" x14ac:dyDescent="0.3">
      <c r="A122" s="24">
        <v>91</v>
      </c>
      <c r="B122" s="93" t="s">
        <v>47</v>
      </c>
      <c r="C122" s="94"/>
      <c r="D122" s="30">
        <f>SUM(E122:O122)</f>
        <v>0</v>
      </c>
      <c r="E122" s="31">
        <v>0</v>
      </c>
      <c r="F122" s="31">
        <v>0</v>
      </c>
      <c r="G122" s="31">
        <v>0</v>
      </c>
      <c r="H122" s="40">
        <v>0</v>
      </c>
      <c r="I122" s="40">
        <v>0</v>
      </c>
      <c r="J122" s="31">
        <v>0</v>
      </c>
      <c r="K122" s="31">
        <v>0</v>
      </c>
      <c r="L122" s="31">
        <v>0</v>
      </c>
      <c r="M122" s="32">
        <v>0</v>
      </c>
      <c r="N122" s="31">
        <v>0</v>
      </c>
      <c r="O122" s="31">
        <v>0</v>
      </c>
      <c r="P122" s="24" t="s">
        <v>25</v>
      </c>
    </row>
    <row r="123" spans="1:28" s="48" customFormat="1" ht="16.8" x14ac:dyDescent="0.3">
      <c r="A123" s="24">
        <v>92</v>
      </c>
      <c r="B123" s="95" t="s">
        <v>28</v>
      </c>
      <c r="C123" s="96"/>
      <c r="D123" s="30">
        <f>SUM(E123:O123)</f>
        <v>254500</v>
      </c>
      <c r="E123" s="31">
        <v>0</v>
      </c>
      <c r="F123" s="31">
        <v>0</v>
      </c>
      <c r="G123" s="31">
        <v>0</v>
      </c>
      <c r="H123" s="40">
        <v>128400</v>
      </c>
      <c r="I123" s="40">
        <v>126100</v>
      </c>
      <c r="J123" s="31">
        <v>0</v>
      </c>
      <c r="K123" s="31">
        <v>0</v>
      </c>
      <c r="L123" s="31">
        <v>0</v>
      </c>
      <c r="M123" s="32">
        <v>0</v>
      </c>
      <c r="N123" s="31">
        <v>0</v>
      </c>
      <c r="O123" s="31">
        <v>0</v>
      </c>
      <c r="P123" s="24" t="s">
        <v>25</v>
      </c>
    </row>
    <row r="124" spans="1:28" s="23" customFormat="1" ht="16.8" x14ac:dyDescent="0.3">
      <c r="A124" s="24">
        <v>93</v>
      </c>
      <c r="B124" s="95" t="s">
        <v>29</v>
      </c>
      <c r="C124" s="96"/>
      <c r="D124" s="30">
        <f>SUM(E124:O124)</f>
        <v>1106792.56</v>
      </c>
      <c r="E124" s="31">
        <v>0</v>
      </c>
      <c r="F124" s="31">
        <v>0</v>
      </c>
      <c r="G124" s="31">
        <v>0</v>
      </c>
      <c r="H124" s="40">
        <v>355365</v>
      </c>
      <c r="I124" s="40">
        <f>376900+5413.21-130885.65</f>
        <v>251427.56000000003</v>
      </c>
      <c r="J124" s="31">
        <v>500000</v>
      </c>
      <c r="K124" s="31">
        <v>0</v>
      </c>
      <c r="L124" s="31">
        <v>0</v>
      </c>
      <c r="M124" s="32">
        <v>0</v>
      </c>
      <c r="N124" s="31">
        <v>0</v>
      </c>
      <c r="O124" s="31">
        <v>0</v>
      </c>
      <c r="P124" s="24" t="s">
        <v>25</v>
      </c>
    </row>
    <row r="125" spans="1:28" s="23" customFormat="1" ht="16.8" x14ac:dyDescent="0.3">
      <c r="A125" s="24">
        <v>94</v>
      </c>
      <c r="B125" s="95" t="s">
        <v>30</v>
      </c>
      <c r="C125" s="96"/>
      <c r="D125" s="30">
        <f>SUM(E125:O125)</f>
        <v>0</v>
      </c>
      <c r="E125" s="31">
        <v>0</v>
      </c>
      <c r="F125" s="31">
        <v>0</v>
      </c>
      <c r="G125" s="31">
        <v>0</v>
      </c>
      <c r="H125" s="40">
        <v>0</v>
      </c>
      <c r="I125" s="40">
        <v>0</v>
      </c>
      <c r="J125" s="31">
        <v>0</v>
      </c>
      <c r="K125" s="31">
        <v>0</v>
      </c>
      <c r="L125" s="31">
        <v>0</v>
      </c>
      <c r="M125" s="32">
        <v>0</v>
      </c>
      <c r="N125" s="31">
        <v>0</v>
      </c>
      <c r="O125" s="31">
        <v>0</v>
      </c>
      <c r="P125" s="24" t="s">
        <v>25</v>
      </c>
    </row>
    <row r="126" spans="1:28" s="23" customFormat="1" ht="15" customHeight="1" x14ac:dyDescent="0.3">
      <c r="A126" s="83">
        <v>95</v>
      </c>
      <c r="B126" s="42" t="s">
        <v>63</v>
      </c>
      <c r="C126" s="54"/>
      <c r="D126" s="103">
        <f>SUM(E126:O127)</f>
        <v>2992203</v>
      </c>
      <c r="E126" s="103">
        <f t="shared" ref="E126:O126" si="49">SUM(E128:E131)</f>
        <v>0</v>
      </c>
      <c r="F126" s="103">
        <f t="shared" si="49"/>
        <v>0</v>
      </c>
      <c r="G126" s="103">
        <f t="shared" si="49"/>
        <v>0</v>
      </c>
      <c r="H126" s="103">
        <f t="shared" si="49"/>
        <v>0</v>
      </c>
      <c r="I126" s="103">
        <f t="shared" si="49"/>
        <v>0</v>
      </c>
      <c r="J126" s="103">
        <f t="shared" si="49"/>
        <v>0</v>
      </c>
      <c r="K126" s="103">
        <f t="shared" si="49"/>
        <v>0</v>
      </c>
      <c r="L126" s="103">
        <f t="shared" si="49"/>
        <v>2992203</v>
      </c>
      <c r="M126" s="89">
        <f t="shared" si="49"/>
        <v>0</v>
      </c>
      <c r="N126" s="103">
        <f t="shared" si="49"/>
        <v>0</v>
      </c>
      <c r="O126" s="103">
        <f t="shared" si="49"/>
        <v>0</v>
      </c>
      <c r="P126" s="81" t="s">
        <v>54</v>
      </c>
    </row>
    <row r="127" spans="1:28" s="23" customFormat="1" ht="88.5" customHeight="1" x14ac:dyDescent="0.3">
      <c r="A127" s="84"/>
      <c r="B127" s="43" t="s">
        <v>64</v>
      </c>
      <c r="C127" s="54"/>
      <c r="D127" s="104"/>
      <c r="E127" s="104"/>
      <c r="F127" s="104"/>
      <c r="G127" s="104"/>
      <c r="H127" s="104"/>
      <c r="I127" s="104"/>
      <c r="J127" s="104"/>
      <c r="K127" s="104"/>
      <c r="L127" s="104"/>
      <c r="M127" s="90"/>
      <c r="N127" s="104"/>
      <c r="O127" s="104"/>
      <c r="P127" s="82"/>
    </row>
    <row r="128" spans="1:28" s="23" customFormat="1" ht="16.8" x14ac:dyDescent="0.3">
      <c r="A128" s="24">
        <v>96</v>
      </c>
      <c r="B128" s="93" t="s">
        <v>47</v>
      </c>
      <c r="C128" s="94"/>
      <c r="D128" s="30">
        <f>SUM(E128:O128)</f>
        <v>0</v>
      </c>
      <c r="E128" s="31">
        <v>0</v>
      </c>
      <c r="F128" s="31">
        <v>0</v>
      </c>
      <c r="G128" s="31">
        <v>0</v>
      </c>
      <c r="H128" s="40">
        <v>0</v>
      </c>
      <c r="I128" s="40">
        <v>0</v>
      </c>
      <c r="J128" s="31">
        <v>0</v>
      </c>
      <c r="K128" s="31">
        <v>0</v>
      </c>
      <c r="L128" s="31">
        <v>0</v>
      </c>
      <c r="M128" s="32">
        <v>0</v>
      </c>
      <c r="N128" s="31">
        <v>0</v>
      </c>
      <c r="O128" s="31">
        <v>0</v>
      </c>
      <c r="P128" s="24" t="s">
        <v>25</v>
      </c>
    </row>
    <row r="129" spans="1:16" s="48" customFormat="1" ht="16.8" x14ac:dyDescent="0.3">
      <c r="A129" s="24">
        <v>97</v>
      </c>
      <c r="B129" s="95" t="s">
        <v>28</v>
      </c>
      <c r="C129" s="96"/>
      <c r="D129" s="30">
        <f>SUM(E129:O129)</f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2">
        <v>0</v>
      </c>
      <c r="N129" s="31">
        <v>0</v>
      </c>
      <c r="O129" s="31">
        <v>0</v>
      </c>
      <c r="P129" s="24" t="s">
        <v>25</v>
      </c>
    </row>
    <row r="130" spans="1:16" s="23" customFormat="1" ht="16.8" x14ac:dyDescent="0.3">
      <c r="A130" s="24">
        <v>98</v>
      </c>
      <c r="B130" s="95" t="s">
        <v>29</v>
      </c>
      <c r="C130" s="96"/>
      <c r="D130" s="30">
        <f>SUM(E130:O130)</f>
        <v>2992203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f>3319861-118066.04-59591.96-150000</f>
        <v>2992203</v>
      </c>
      <c r="M130" s="32">
        <v>0</v>
      </c>
      <c r="N130" s="31">
        <v>0</v>
      </c>
      <c r="O130" s="31">
        <v>0</v>
      </c>
      <c r="P130" s="24" t="s">
        <v>25</v>
      </c>
    </row>
    <row r="131" spans="1:16" s="23" customFormat="1" ht="16.8" x14ac:dyDescent="0.3">
      <c r="A131" s="24">
        <v>99</v>
      </c>
      <c r="B131" s="95" t="s">
        <v>30</v>
      </c>
      <c r="C131" s="96"/>
      <c r="D131" s="30">
        <f>SUM(E131:O131)</f>
        <v>0</v>
      </c>
      <c r="E131" s="31">
        <v>0</v>
      </c>
      <c r="F131" s="31">
        <v>0</v>
      </c>
      <c r="G131" s="31">
        <v>0</v>
      </c>
      <c r="H131" s="40">
        <v>0</v>
      </c>
      <c r="I131" s="40">
        <v>0</v>
      </c>
      <c r="J131" s="31">
        <v>0</v>
      </c>
      <c r="K131" s="31">
        <v>0</v>
      </c>
      <c r="L131" s="31">
        <v>0</v>
      </c>
      <c r="M131" s="32">
        <v>0</v>
      </c>
      <c r="N131" s="31">
        <v>0</v>
      </c>
      <c r="O131" s="31">
        <v>0</v>
      </c>
      <c r="P131" s="24" t="s">
        <v>25</v>
      </c>
    </row>
    <row r="132" spans="1:16" s="23" customFormat="1" ht="16.8" x14ac:dyDescent="0.3">
      <c r="A132" s="97" t="s">
        <v>65</v>
      </c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98"/>
    </row>
    <row r="133" spans="1:16" s="23" customFormat="1" ht="66" customHeight="1" x14ac:dyDescent="0.3">
      <c r="A133" s="24">
        <v>100</v>
      </c>
      <c r="B133" s="97" t="s">
        <v>66</v>
      </c>
      <c r="C133" s="98"/>
      <c r="D133" s="30">
        <f>SUM(E133:O133)</f>
        <v>129210139.62</v>
      </c>
      <c r="E133" s="30">
        <f t="shared" ref="E133:O133" si="50">SUM(E134:E137)</f>
        <v>7193590</v>
      </c>
      <c r="F133" s="30">
        <f t="shared" si="50"/>
        <v>6344082.0200000005</v>
      </c>
      <c r="G133" s="30">
        <f t="shared" si="50"/>
        <v>6909477</v>
      </c>
      <c r="H133" s="39">
        <f t="shared" si="50"/>
        <v>7169265</v>
      </c>
      <c r="I133" s="39">
        <f t="shared" si="50"/>
        <v>11533724.870000001</v>
      </c>
      <c r="J133" s="30">
        <f t="shared" si="50"/>
        <v>8948851</v>
      </c>
      <c r="K133" s="30">
        <f t="shared" si="50"/>
        <v>11806862.690000001</v>
      </c>
      <c r="L133" s="30">
        <f t="shared" si="50"/>
        <v>14437383.039999999</v>
      </c>
      <c r="M133" s="37">
        <f t="shared" si="50"/>
        <v>18202143</v>
      </c>
      <c r="N133" s="30">
        <f t="shared" si="50"/>
        <v>18211484</v>
      </c>
      <c r="O133" s="30">
        <f t="shared" si="50"/>
        <v>18453277</v>
      </c>
      <c r="P133" s="24" t="s">
        <v>32</v>
      </c>
    </row>
    <row r="134" spans="1:16" s="23" customFormat="1" ht="16.8" x14ac:dyDescent="0.3">
      <c r="A134" s="24">
        <v>101</v>
      </c>
      <c r="B134" s="95" t="s">
        <v>27</v>
      </c>
      <c r="C134" s="96"/>
      <c r="D134" s="30">
        <f>SUM(E134:K134)</f>
        <v>0</v>
      </c>
      <c r="E134" s="31">
        <f t="shared" ref="E134:O134" si="51">E140</f>
        <v>0</v>
      </c>
      <c r="F134" s="31">
        <f t="shared" si="51"/>
        <v>0</v>
      </c>
      <c r="G134" s="31">
        <f t="shared" si="51"/>
        <v>0</v>
      </c>
      <c r="H134" s="40">
        <f t="shared" si="51"/>
        <v>0</v>
      </c>
      <c r="I134" s="40">
        <f t="shared" si="51"/>
        <v>0</v>
      </c>
      <c r="J134" s="31">
        <f t="shared" si="51"/>
        <v>0</v>
      </c>
      <c r="K134" s="31">
        <f t="shared" si="51"/>
        <v>0</v>
      </c>
      <c r="L134" s="31">
        <f t="shared" si="51"/>
        <v>0</v>
      </c>
      <c r="M134" s="32">
        <f t="shared" si="51"/>
        <v>0</v>
      </c>
      <c r="N134" s="31">
        <f t="shared" si="51"/>
        <v>0</v>
      </c>
      <c r="O134" s="31">
        <f t="shared" si="51"/>
        <v>0</v>
      </c>
      <c r="P134" s="24" t="s">
        <v>32</v>
      </c>
    </row>
    <row r="135" spans="1:16" s="23" customFormat="1" ht="16.8" x14ac:dyDescent="0.3">
      <c r="A135" s="24">
        <v>102</v>
      </c>
      <c r="B135" s="95" t="s">
        <v>28</v>
      </c>
      <c r="C135" s="96"/>
      <c r="D135" s="30">
        <f>SUM(E135:O135)</f>
        <v>944308.42999999993</v>
      </c>
      <c r="E135" s="31">
        <f t="shared" ref="E135:G137" si="52">E141</f>
        <v>81700</v>
      </c>
      <c r="F135" s="31">
        <f t="shared" si="52"/>
        <v>0</v>
      </c>
      <c r="G135" s="31">
        <f t="shared" si="52"/>
        <v>71500</v>
      </c>
      <c r="H135" s="40">
        <v>190509</v>
      </c>
      <c r="I135" s="40">
        <f t="shared" ref="I135:O137" si="53">I141</f>
        <v>185587.43</v>
      </c>
      <c r="J135" s="31">
        <f t="shared" si="53"/>
        <v>0</v>
      </c>
      <c r="K135" s="31">
        <f t="shared" si="53"/>
        <v>200600</v>
      </c>
      <c r="L135" s="31">
        <f t="shared" si="53"/>
        <v>0</v>
      </c>
      <c r="M135" s="32">
        <f t="shared" si="53"/>
        <v>214412</v>
      </c>
      <c r="N135" s="31">
        <f t="shared" si="53"/>
        <v>0</v>
      </c>
      <c r="O135" s="31">
        <f t="shared" si="53"/>
        <v>0</v>
      </c>
      <c r="P135" s="24" t="s">
        <v>32</v>
      </c>
    </row>
    <row r="136" spans="1:16" s="23" customFormat="1" ht="16.8" x14ac:dyDescent="0.3">
      <c r="A136" s="24">
        <v>103</v>
      </c>
      <c r="B136" s="95" t="s">
        <v>29</v>
      </c>
      <c r="C136" s="96"/>
      <c r="D136" s="30">
        <f>SUM(E136:O136)</f>
        <v>127812831.19</v>
      </c>
      <c r="E136" s="31">
        <f t="shared" si="52"/>
        <v>7111890</v>
      </c>
      <c r="F136" s="31">
        <f t="shared" si="52"/>
        <v>6344082.0200000005</v>
      </c>
      <c r="G136" s="31">
        <f t="shared" si="52"/>
        <v>6837977</v>
      </c>
      <c r="H136" s="40">
        <f>H142</f>
        <v>6978756</v>
      </c>
      <c r="I136" s="40">
        <f t="shared" si="53"/>
        <v>11348137.440000001</v>
      </c>
      <c r="J136" s="31">
        <f t="shared" si="53"/>
        <v>8948851</v>
      </c>
      <c r="K136" s="31">
        <f t="shared" si="53"/>
        <v>11529262.690000001</v>
      </c>
      <c r="L136" s="31">
        <f t="shared" si="53"/>
        <v>14360383.039999999</v>
      </c>
      <c r="M136" s="32">
        <f t="shared" si="53"/>
        <v>17842731</v>
      </c>
      <c r="N136" s="31">
        <f t="shared" si="53"/>
        <v>18134484</v>
      </c>
      <c r="O136" s="31">
        <f t="shared" si="53"/>
        <v>18376277</v>
      </c>
      <c r="P136" s="24" t="s">
        <v>32</v>
      </c>
    </row>
    <row r="137" spans="1:16" s="23" customFormat="1" ht="16.8" x14ac:dyDescent="0.3">
      <c r="A137" s="24">
        <v>104</v>
      </c>
      <c r="B137" s="95" t="s">
        <v>30</v>
      </c>
      <c r="C137" s="96"/>
      <c r="D137" s="30">
        <f>SUM(E137:O137)</f>
        <v>453000</v>
      </c>
      <c r="E137" s="31">
        <f t="shared" si="52"/>
        <v>0</v>
      </c>
      <c r="F137" s="31">
        <f t="shared" si="52"/>
        <v>0</v>
      </c>
      <c r="G137" s="31">
        <f t="shared" si="52"/>
        <v>0</v>
      </c>
      <c r="H137" s="40">
        <f>H143</f>
        <v>0</v>
      </c>
      <c r="I137" s="40">
        <f t="shared" si="53"/>
        <v>0</v>
      </c>
      <c r="J137" s="31">
        <f t="shared" si="53"/>
        <v>0</v>
      </c>
      <c r="K137" s="31">
        <f t="shared" si="53"/>
        <v>77000</v>
      </c>
      <c r="L137" s="31">
        <f t="shared" si="53"/>
        <v>77000</v>
      </c>
      <c r="M137" s="32">
        <f t="shared" si="53"/>
        <v>145000</v>
      </c>
      <c r="N137" s="31">
        <f t="shared" si="53"/>
        <v>77000</v>
      </c>
      <c r="O137" s="31">
        <f t="shared" si="53"/>
        <v>77000</v>
      </c>
      <c r="P137" s="24" t="s">
        <v>32</v>
      </c>
    </row>
    <row r="138" spans="1:16" s="23" customFormat="1" ht="21" customHeight="1" x14ac:dyDescent="0.3">
      <c r="A138" s="97" t="s">
        <v>31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98"/>
    </row>
    <row r="139" spans="1:16" s="23" customFormat="1" ht="16.8" x14ac:dyDescent="0.3">
      <c r="A139" s="24">
        <f>A137+1</f>
        <v>105</v>
      </c>
      <c r="B139" s="36" t="s">
        <v>31</v>
      </c>
      <c r="C139" s="103">
        <f>SUM(E139:O139)</f>
        <v>129210139.62</v>
      </c>
      <c r="D139" s="112"/>
      <c r="E139" s="30">
        <f t="shared" ref="E139:O139" si="54">SUM(E140:E143)</f>
        <v>7193590</v>
      </c>
      <c r="F139" s="30">
        <f t="shared" si="54"/>
        <v>6344082.0200000005</v>
      </c>
      <c r="G139" s="30">
        <f t="shared" si="54"/>
        <v>6909477</v>
      </c>
      <c r="H139" s="39">
        <f t="shared" si="54"/>
        <v>7169265</v>
      </c>
      <c r="I139" s="39">
        <f t="shared" si="54"/>
        <v>11533724.870000001</v>
      </c>
      <c r="J139" s="30">
        <f t="shared" si="54"/>
        <v>8948851</v>
      </c>
      <c r="K139" s="30">
        <f t="shared" si="54"/>
        <v>11806862.690000001</v>
      </c>
      <c r="L139" s="30">
        <f t="shared" si="54"/>
        <v>14437383.039999999</v>
      </c>
      <c r="M139" s="37">
        <f t="shared" si="54"/>
        <v>18202143</v>
      </c>
      <c r="N139" s="30">
        <f t="shared" si="54"/>
        <v>18211484</v>
      </c>
      <c r="O139" s="30">
        <f t="shared" si="54"/>
        <v>18453277</v>
      </c>
      <c r="P139" s="24" t="s">
        <v>32</v>
      </c>
    </row>
    <row r="140" spans="1:16" s="23" customFormat="1" ht="16.8" x14ac:dyDescent="0.3">
      <c r="A140" s="24">
        <f>A139+1</f>
        <v>106</v>
      </c>
      <c r="B140" s="35" t="s">
        <v>27</v>
      </c>
      <c r="C140" s="103">
        <f>SUM(E140:K140)</f>
        <v>0</v>
      </c>
      <c r="D140" s="112"/>
      <c r="E140" s="31">
        <f t="shared" ref="E140:J140" si="55">E146+E152+E158</f>
        <v>0</v>
      </c>
      <c r="F140" s="31">
        <f t="shared" si="55"/>
        <v>0</v>
      </c>
      <c r="G140" s="31">
        <f t="shared" si="55"/>
        <v>0</v>
      </c>
      <c r="H140" s="40">
        <f t="shared" si="55"/>
        <v>0</v>
      </c>
      <c r="I140" s="40">
        <f t="shared" si="55"/>
        <v>0</v>
      </c>
      <c r="J140" s="31">
        <f t="shared" si="55"/>
        <v>0</v>
      </c>
      <c r="K140" s="31">
        <v>0</v>
      </c>
      <c r="L140" s="31">
        <v>0</v>
      </c>
      <c r="M140" s="32">
        <v>0</v>
      </c>
      <c r="N140" s="31">
        <v>0</v>
      </c>
      <c r="O140" s="31">
        <v>0</v>
      </c>
      <c r="P140" s="24" t="s">
        <v>32</v>
      </c>
    </row>
    <row r="141" spans="1:16" s="23" customFormat="1" ht="16.8" x14ac:dyDescent="0.3">
      <c r="A141" s="24">
        <f>A140+1</f>
        <v>107</v>
      </c>
      <c r="B141" s="35" t="s">
        <v>28</v>
      </c>
      <c r="C141" s="103">
        <f>SUM(E141:O141)</f>
        <v>944308.42999999993</v>
      </c>
      <c r="D141" s="112"/>
      <c r="E141" s="31">
        <f t="shared" ref="E141:G143" si="56">E147+E153+E159</f>
        <v>81700</v>
      </c>
      <c r="F141" s="31">
        <f t="shared" si="56"/>
        <v>0</v>
      </c>
      <c r="G141" s="31">
        <f t="shared" si="56"/>
        <v>71500</v>
      </c>
      <c r="H141" s="40">
        <v>190509</v>
      </c>
      <c r="I141" s="40">
        <f t="shared" ref="I141:J143" si="57">I147+I153+I159</f>
        <v>185587.43</v>
      </c>
      <c r="J141" s="31">
        <f t="shared" si="57"/>
        <v>0</v>
      </c>
      <c r="K141" s="31">
        <f>K147+K153+K159+K164+K168+K172</f>
        <v>200600</v>
      </c>
      <c r="L141" s="31">
        <f>L147+L153+L159</f>
        <v>0</v>
      </c>
      <c r="M141" s="32">
        <f>M147+M153+M159</f>
        <v>214412</v>
      </c>
      <c r="N141" s="31">
        <f>N147+N153+N159</f>
        <v>0</v>
      </c>
      <c r="O141" s="31">
        <f>O147+O153+O159</f>
        <v>0</v>
      </c>
      <c r="P141" s="24" t="s">
        <v>32</v>
      </c>
    </row>
    <row r="142" spans="1:16" s="23" customFormat="1" ht="16.8" x14ac:dyDescent="0.3">
      <c r="A142" s="24">
        <f>A141+1</f>
        <v>108</v>
      </c>
      <c r="B142" s="35" t="s">
        <v>29</v>
      </c>
      <c r="C142" s="103">
        <f>SUM(E142:O142)</f>
        <v>127812831.19</v>
      </c>
      <c r="D142" s="112"/>
      <c r="E142" s="31">
        <f t="shared" si="56"/>
        <v>7111890</v>
      </c>
      <c r="F142" s="31">
        <f t="shared" si="56"/>
        <v>6344082.0200000005</v>
      </c>
      <c r="G142" s="31">
        <f t="shared" si="56"/>
        <v>6837977</v>
      </c>
      <c r="H142" s="40">
        <f>H148+H154+H160</f>
        <v>6978756</v>
      </c>
      <c r="I142" s="40">
        <f t="shared" si="57"/>
        <v>11348137.440000001</v>
      </c>
      <c r="J142" s="31">
        <f t="shared" si="57"/>
        <v>8948851</v>
      </c>
      <c r="K142" s="31">
        <f>K148+K154+K169+K165+K177</f>
        <v>11529262.690000001</v>
      </c>
      <c r="L142" s="31">
        <f>L148+L154+L169+L165+L177</f>
        <v>14360383.039999999</v>
      </c>
      <c r="M142" s="32">
        <f>M148+M154+M169+M165+M177+M181</f>
        <v>17842731</v>
      </c>
      <c r="N142" s="31">
        <f>N148+N154+N169+N165+N177+N181</f>
        <v>18134484</v>
      </c>
      <c r="O142" s="31">
        <f>O148+O154+O169+O165+O177+O181</f>
        <v>18376277</v>
      </c>
      <c r="P142" s="24" t="s">
        <v>32</v>
      </c>
    </row>
    <row r="143" spans="1:16" s="23" customFormat="1" ht="16.8" x14ac:dyDescent="0.3">
      <c r="A143" s="24">
        <f>A142+1</f>
        <v>109</v>
      </c>
      <c r="B143" s="41" t="s">
        <v>30</v>
      </c>
      <c r="C143" s="103">
        <f>SUM(E143:O143)</f>
        <v>453000</v>
      </c>
      <c r="D143" s="112"/>
      <c r="E143" s="31">
        <f t="shared" si="56"/>
        <v>0</v>
      </c>
      <c r="F143" s="31">
        <f t="shared" si="56"/>
        <v>0</v>
      </c>
      <c r="G143" s="31">
        <f t="shared" si="56"/>
        <v>0</v>
      </c>
      <c r="H143" s="40">
        <f>H149+H155+H161</f>
        <v>0</v>
      </c>
      <c r="I143" s="40">
        <f t="shared" si="57"/>
        <v>0</v>
      </c>
      <c r="J143" s="31">
        <f t="shared" si="57"/>
        <v>0</v>
      </c>
      <c r="K143" s="31">
        <f>K149+K155+K161</f>
        <v>77000</v>
      </c>
      <c r="L143" s="31">
        <f>L149+L155+L161</f>
        <v>77000</v>
      </c>
      <c r="M143" s="32">
        <f>M149+M155+M161</f>
        <v>145000</v>
      </c>
      <c r="N143" s="31">
        <f>N149+N155+N161</f>
        <v>77000</v>
      </c>
      <c r="O143" s="31">
        <f>O149+O155+O161</f>
        <v>77000</v>
      </c>
      <c r="P143" s="24" t="s">
        <v>32</v>
      </c>
    </row>
    <row r="144" spans="1:16" s="23" customFormat="1" ht="16.8" x14ac:dyDescent="0.3">
      <c r="A144" s="81">
        <f>A143+1</f>
        <v>110</v>
      </c>
      <c r="B144" s="42" t="s">
        <v>52</v>
      </c>
      <c r="C144" s="103">
        <f>SUM(E144:O145)</f>
        <v>117426583.06999999</v>
      </c>
      <c r="D144" s="109"/>
      <c r="E144" s="103">
        <f t="shared" ref="E144:O144" si="58">SUM(E146:E149)</f>
        <v>7051390</v>
      </c>
      <c r="F144" s="103">
        <f t="shared" si="58"/>
        <v>5728657.6600000001</v>
      </c>
      <c r="G144" s="103">
        <f t="shared" si="58"/>
        <v>6789977</v>
      </c>
      <c r="H144" s="106">
        <f t="shared" si="58"/>
        <v>6906756</v>
      </c>
      <c r="I144" s="106">
        <f t="shared" si="58"/>
        <v>8533724.870000001</v>
      </c>
      <c r="J144" s="103">
        <f t="shared" si="58"/>
        <v>8948851</v>
      </c>
      <c r="K144" s="103">
        <f t="shared" si="58"/>
        <v>9118964.540000001</v>
      </c>
      <c r="L144" s="103">
        <f t="shared" si="58"/>
        <v>11281317</v>
      </c>
      <c r="M144" s="89">
        <f t="shared" si="58"/>
        <v>17617143</v>
      </c>
      <c r="N144" s="103">
        <f t="shared" si="58"/>
        <v>17608027</v>
      </c>
      <c r="O144" s="103">
        <f t="shared" si="58"/>
        <v>17841775</v>
      </c>
      <c r="P144" s="81">
        <v>24.26</v>
      </c>
    </row>
    <row r="145" spans="1:16" s="23" customFormat="1" ht="158.25" customHeight="1" x14ac:dyDescent="0.3">
      <c r="A145" s="82"/>
      <c r="B145" s="43" t="s">
        <v>67</v>
      </c>
      <c r="C145" s="131"/>
      <c r="D145" s="111"/>
      <c r="E145" s="104"/>
      <c r="F145" s="104"/>
      <c r="G145" s="104"/>
      <c r="H145" s="107"/>
      <c r="I145" s="107"/>
      <c r="J145" s="104"/>
      <c r="K145" s="104"/>
      <c r="L145" s="104"/>
      <c r="M145" s="90"/>
      <c r="N145" s="104"/>
      <c r="O145" s="104"/>
      <c r="P145" s="82"/>
    </row>
    <row r="146" spans="1:16" s="23" customFormat="1" ht="16.8" x14ac:dyDescent="0.3">
      <c r="A146" s="24">
        <f>A144+1</f>
        <v>111</v>
      </c>
      <c r="B146" s="35" t="s">
        <v>27</v>
      </c>
      <c r="C146" s="103">
        <f>SUM(E146:O146)</f>
        <v>0</v>
      </c>
      <c r="D146" s="112"/>
      <c r="E146" s="31">
        <v>0</v>
      </c>
      <c r="F146" s="31">
        <v>0</v>
      </c>
      <c r="G146" s="31">
        <v>0</v>
      </c>
      <c r="H146" s="40">
        <v>0</v>
      </c>
      <c r="I146" s="40">
        <v>0</v>
      </c>
      <c r="J146" s="31">
        <v>0</v>
      </c>
      <c r="K146" s="31">
        <v>0</v>
      </c>
      <c r="L146" s="31">
        <v>0</v>
      </c>
      <c r="M146" s="32">
        <v>0</v>
      </c>
      <c r="N146" s="31">
        <v>0</v>
      </c>
      <c r="O146" s="31">
        <v>0</v>
      </c>
      <c r="P146" s="24" t="s">
        <v>25</v>
      </c>
    </row>
    <row r="147" spans="1:16" s="23" customFormat="1" ht="16.8" x14ac:dyDescent="0.3">
      <c r="A147" s="24">
        <f>A146+1</f>
        <v>112</v>
      </c>
      <c r="B147" s="35" t="s">
        <v>28</v>
      </c>
      <c r="C147" s="103">
        <f>SUM(E147:O147)</f>
        <v>399999.43</v>
      </c>
      <c r="D147" s="112"/>
      <c r="E147" s="31">
        <v>0</v>
      </c>
      <c r="F147" s="31">
        <v>0</v>
      </c>
      <c r="G147" s="31">
        <v>0</v>
      </c>
      <c r="H147" s="40">
        <f>H165</f>
        <v>0</v>
      </c>
      <c r="I147" s="40">
        <f>185587.43</f>
        <v>185587.43</v>
      </c>
      <c r="J147" s="31">
        <v>0</v>
      </c>
      <c r="K147" s="31">
        <f>0</f>
        <v>0</v>
      </c>
      <c r="L147" s="31">
        <v>0</v>
      </c>
      <c r="M147" s="32">
        <v>214412</v>
      </c>
      <c r="N147" s="31">
        <v>0</v>
      </c>
      <c r="O147" s="31">
        <v>0</v>
      </c>
      <c r="P147" s="24" t="s">
        <v>25</v>
      </c>
    </row>
    <row r="148" spans="1:16" s="23" customFormat="1" ht="16.8" x14ac:dyDescent="0.3">
      <c r="A148" s="24">
        <f>A147+1</f>
        <v>113</v>
      </c>
      <c r="B148" s="35" t="s">
        <v>29</v>
      </c>
      <c r="C148" s="103">
        <f>SUM(E148:O148)</f>
        <v>116573583.64</v>
      </c>
      <c r="D148" s="112"/>
      <c r="E148" s="31">
        <v>7051390</v>
      </c>
      <c r="F148" s="31">
        <v>5728657.6600000001</v>
      </c>
      <c r="G148" s="31">
        <v>6789977</v>
      </c>
      <c r="H148" s="40">
        <f>8841756-2000000-72000+100000+37000</f>
        <v>6906756</v>
      </c>
      <c r="I148" s="40">
        <f>8217251.79+130885.65</f>
        <v>8348137.4400000004</v>
      </c>
      <c r="J148" s="31">
        <v>8948851</v>
      </c>
      <c r="K148" s="31">
        <f>12623406-2059416.38-186025.08-1336000</f>
        <v>9041964.540000001</v>
      </c>
      <c r="L148" s="31">
        <f>10622317+582000</f>
        <v>11204317</v>
      </c>
      <c r="M148" s="32">
        <f>17087731+1000000-100000-730000</f>
        <v>17257731</v>
      </c>
      <c r="N148" s="31">
        <v>17531027</v>
      </c>
      <c r="O148" s="31">
        <v>17764775</v>
      </c>
      <c r="P148" s="24" t="s">
        <v>25</v>
      </c>
    </row>
    <row r="149" spans="1:16" s="23" customFormat="1" ht="30.75" customHeight="1" x14ac:dyDescent="0.3">
      <c r="A149" s="24">
        <f>A148+1</f>
        <v>114</v>
      </c>
      <c r="B149" s="41" t="s">
        <v>30</v>
      </c>
      <c r="C149" s="103">
        <f>SUM(E149:O149)</f>
        <v>453000</v>
      </c>
      <c r="D149" s="112"/>
      <c r="E149" s="45">
        <v>0</v>
      </c>
      <c r="F149" s="45">
        <v>0</v>
      </c>
      <c r="G149" s="45">
        <v>0</v>
      </c>
      <c r="H149" s="46">
        <v>0</v>
      </c>
      <c r="I149" s="46">
        <v>0</v>
      </c>
      <c r="J149" s="45">
        <v>0</v>
      </c>
      <c r="K149" s="45">
        <v>77000</v>
      </c>
      <c r="L149" s="45">
        <v>77000</v>
      </c>
      <c r="M149" s="47">
        <f>77000+23000+45000</f>
        <v>145000</v>
      </c>
      <c r="N149" s="45">
        <v>77000</v>
      </c>
      <c r="O149" s="45">
        <v>77000</v>
      </c>
      <c r="P149" s="24" t="s">
        <v>25</v>
      </c>
    </row>
    <row r="150" spans="1:16" s="23" customFormat="1" ht="16.8" x14ac:dyDescent="0.3">
      <c r="A150" s="81">
        <f>A149+1</f>
        <v>115</v>
      </c>
      <c r="B150" s="42" t="s">
        <v>40</v>
      </c>
      <c r="C150" s="108">
        <f>SUM(E150:O151)</f>
        <v>4472401.33</v>
      </c>
      <c r="D150" s="109"/>
      <c r="E150" s="103">
        <f t="shared" ref="E150:O150" si="59">SUM(E152:E155)</f>
        <v>142200</v>
      </c>
      <c r="F150" s="103">
        <f t="shared" si="59"/>
        <v>0</v>
      </c>
      <c r="G150" s="103">
        <f t="shared" si="59"/>
        <v>119500</v>
      </c>
      <c r="H150" s="106">
        <f t="shared" si="59"/>
        <v>72000</v>
      </c>
      <c r="I150" s="106">
        <f t="shared" si="59"/>
        <v>3000000</v>
      </c>
      <c r="J150" s="103">
        <f t="shared" si="59"/>
        <v>0</v>
      </c>
      <c r="K150" s="103">
        <f t="shared" si="59"/>
        <v>200000</v>
      </c>
      <c r="L150" s="103">
        <f t="shared" si="59"/>
        <v>631016.32999999996</v>
      </c>
      <c r="M150" s="89">
        <f t="shared" si="59"/>
        <v>100000</v>
      </c>
      <c r="N150" s="103">
        <f t="shared" si="59"/>
        <v>103155</v>
      </c>
      <c r="O150" s="103">
        <f t="shared" si="59"/>
        <v>104530</v>
      </c>
      <c r="P150" s="81">
        <v>24.26</v>
      </c>
    </row>
    <row r="151" spans="1:16" s="23" customFormat="1" ht="102" customHeight="1" x14ac:dyDescent="0.3">
      <c r="A151" s="82"/>
      <c r="B151" s="43" t="s">
        <v>68</v>
      </c>
      <c r="C151" s="110"/>
      <c r="D151" s="111"/>
      <c r="E151" s="104"/>
      <c r="F151" s="104"/>
      <c r="G151" s="104"/>
      <c r="H151" s="107"/>
      <c r="I151" s="107"/>
      <c r="J151" s="104"/>
      <c r="K151" s="104"/>
      <c r="L151" s="104"/>
      <c r="M151" s="90"/>
      <c r="N151" s="104"/>
      <c r="O151" s="104"/>
      <c r="P151" s="82"/>
    </row>
    <row r="152" spans="1:16" s="23" customFormat="1" ht="16.8" x14ac:dyDescent="0.3">
      <c r="A152" s="24">
        <f>A150+1</f>
        <v>116</v>
      </c>
      <c r="B152" s="35" t="s">
        <v>27</v>
      </c>
      <c r="C152" s="55"/>
      <c r="D152" s="30">
        <f>SUM(E152:K152)</f>
        <v>0</v>
      </c>
      <c r="E152" s="31">
        <v>0</v>
      </c>
      <c r="F152" s="31">
        <v>0</v>
      </c>
      <c r="G152" s="31">
        <v>0</v>
      </c>
      <c r="H152" s="40">
        <v>0</v>
      </c>
      <c r="I152" s="40">
        <v>0</v>
      </c>
      <c r="J152" s="31">
        <v>0</v>
      </c>
      <c r="K152" s="31">
        <v>0</v>
      </c>
      <c r="L152" s="31">
        <v>0</v>
      </c>
      <c r="M152" s="32">
        <v>0</v>
      </c>
      <c r="N152" s="31">
        <v>0</v>
      </c>
      <c r="O152" s="31">
        <v>0</v>
      </c>
      <c r="P152" s="24" t="s">
        <v>25</v>
      </c>
    </row>
    <row r="153" spans="1:16" s="23" customFormat="1" ht="16.8" x14ac:dyDescent="0.3">
      <c r="A153" s="24">
        <f>A152+1</f>
        <v>117</v>
      </c>
      <c r="B153" s="35" t="s">
        <v>28</v>
      </c>
      <c r="C153" s="103">
        <f>SUM(E153:O153)</f>
        <v>153200</v>
      </c>
      <c r="D153" s="112"/>
      <c r="E153" s="31">
        <v>81700</v>
      </c>
      <c r="F153" s="31">
        <v>0</v>
      </c>
      <c r="G153" s="31">
        <v>71500</v>
      </c>
      <c r="H153" s="40">
        <v>0</v>
      </c>
      <c r="I153" s="40">
        <v>0</v>
      </c>
      <c r="J153" s="31">
        <v>0</v>
      </c>
      <c r="K153" s="31">
        <v>0</v>
      </c>
      <c r="L153" s="31">
        <v>0</v>
      </c>
      <c r="M153" s="32">
        <v>0</v>
      </c>
      <c r="N153" s="31">
        <v>0</v>
      </c>
      <c r="O153" s="31">
        <v>0</v>
      </c>
      <c r="P153" s="24" t="s">
        <v>25</v>
      </c>
    </row>
    <row r="154" spans="1:16" s="23" customFormat="1" ht="16.8" x14ac:dyDescent="0.3">
      <c r="A154" s="24">
        <f>A153+1</f>
        <v>118</v>
      </c>
      <c r="B154" s="35" t="s">
        <v>29</v>
      </c>
      <c r="C154" s="103">
        <f>SUM(E154:O154)</f>
        <v>4319201.33</v>
      </c>
      <c r="D154" s="112"/>
      <c r="E154" s="31">
        <v>60500</v>
      </c>
      <c r="F154" s="31">
        <v>0</v>
      </c>
      <c r="G154" s="31">
        <v>48000</v>
      </c>
      <c r="H154" s="40">
        <v>72000</v>
      </c>
      <c r="I154" s="40">
        <v>3000000</v>
      </c>
      <c r="J154" s="31">
        <f>11250080-640700-5000000-5577280-32100</f>
        <v>0</v>
      </c>
      <c r="K154" s="31">
        <v>200000</v>
      </c>
      <c r="L154" s="31">
        <v>631016.32999999996</v>
      </c>
      <c r="M154" s="32">
        <v>100000</v>
      </c>
      <c r="N154" s="31">
        <v>103155</v>
      </c>
      <c r="O154" s="31">
        <v>104530</v>
      </c>
      <c r="P154" s="24" t="s">
        <v>25</v>
      </c>
    </row>
    <row r="155" spans="1:16" s="23" customFormat="1" ht="16.8" x14ac:dyDescent="0.3">
      <c r="A155" s="24">
        <f>A154+1</f>
        <v>119</v>
      </c>
      <c r="B155" s="41" t="s">
        <v>30</v>
      </c>
      <c r="C155" s="103">
        <f>SUM(E155:K155)</f>
        <v>0</v>
      </c>
      <c r="D155" s="112"/>
      <c r="E155" s="31">
        <v>0</v>
      </c>
      <c r="F155" s="31">
        <v>0</v>
      </c>
      <c r="G155" s="31">
        <v>0</v>
      </c>
      <c r="H155" s="40">
        <v>0</v>
      </c>
      <c r="I155" s="40">
        <v>0</v>
      </c>
      <c r="J155" s="31">
        <v>0</v>
      </c>
      <c r="K155" s="31">
        <v>0</v>
      </c>
      <c r="L155" s="31">
        <v>0</v>
      </c>
      <c r="M155" s="32">
        <v>0</v>
      </c>
      <c r="N155" s="31">
        <v>0</v>
      </c>
      <c r="O155" s="31">
        <v>0</v>
      </c>
      <c r="P155" s="24" t="s">
        <v>25</v>
      </c>
    </row>
    <row r="156" spans="1:16" s="23" customFormat="1" ht="16.8" x14ac:dyDescent="0.3">
      <c r="A156" s="81">
        <f>A155+1</f>
        <v>120</v>
      </c>
      <c r="B156" s="42" t="s">
        <v>42</v>
      </c>
      <c r="C156" s="108">
        <f>SUM(E156:O157)</f>
        <v>615424.36</v>
      </c>
      <c r="D156" s="109"/>
      <c r="E156" s="103">
        <f t="shared" ref="E156:K156" si="60">SUM(E158:E161)</f>
        <v>0</v>
      </c>
      <c r="F156" s="103">
        <f t="shared" si="60"/>
        <v>615424.36</v>
      </c>
      <c r="G156" s="103">
        <f t="shared" si="60"/>
        <v>0</v>
      </c>
      <c r="H156" s="106">
        <f t="shared" si="60"/>
        <v>0</v>
      </c>
      <c r="I156" s="106">
        <f t="shared" si="60"/>
        <v>0</v>
      </c>
      <c r="J156" s="103">
        <f t="shared" si="60"/>
        <v>0</v>
      </c>
      <c r="K156" s="103">
        <f t="shared" si="60"/>
        <v>0</v>
      </c>
      <c r="L156" s="113">
        <v>0</v>
      </c>
      <c r="M156" s="115">
        <v>0</v>
      </c>
      <c r="N156" s="103">
        <v>0</v>
      </c>
      <c r="O156" s="103">
        <v>0</v>
      </c>
      <c r="P156" s="81">
        <v>24.26</v>
      </c>
    </row>
    <row r="157" spans="1:16" s="23" customFormat="1" ht="57" customHeight="1" x14ac:dyDescent="0.3">
      <c r="A157" s="82"/>
      <c r="B157" s="43" t="s">
        <v>41</v>
      </c>
      <c r="C157" s="110"/>
      <c r="D157" s="111"/>
      <c r="E157" s="104"/>
      <c r="F157" s="104"/>
      <c r="G157" s="104"/>
      <c r="H157" s="107"/>
      <c r="I157" s="107"/>
      <c r="J157" s="104"/>
      <c r="K157" s="104"/>
      <c r="L157" s="114"/>
      <c r="M157" s="116"/>
      <c r="N157" s="104"/>
      <c r="O157" s="104"/>
      <c r="P157" s="82"/>
    </row>
    <row r="158" spans="1:16" s="23" customFormat="1" ht="16.8" x14ac:dyDescent="0.3">
      <c r="A158" s="24">
        <f>A156+1</f>
        <v>121</v>
      </c>
      <c r="B158" s="35" t="s">
        <v>27</v>
      </c>
      <c r="C158" s="55"/>
      <c r="D158" s="30">
        <f>SUM(E158:K158)</f>
        <v>0</v>
      </c>
      <c r="E158" s="31">
        <v>0</v>
      </c>
      <c r="F158" s="31">
        <v>0</v>
      </c>
      <c r="G158" s="31">
        <v>0</v>
      </c>
      <c r="H158" s="40">
        <v>0</v>
      </c>
      <c r="I158" s="40">
        <v>0</v>
      </c>
      <c r="J158" s="31">
        <v>0</v>
      </c>
      <c r="K158" s="31">
        <v>0</v>
      </c>
      <c r="L158" s="31">
        <v>0</v>
      </c>
      <c r="M158" s="32">
        <v>0</v>
      </c>
      <c r="N158" s="31">
        <v>0</v>
      </c>
      <c r="O158" s="31">
        <v>0</v>
      </c>
      <c r="P158" s="24" t="s">
        <v>25</v>
      </c>
    </row>
    <row r="159" spans="1:16" s="23" customFormat="1" ht="16.8" x14ac:dyDescent="0.3">
      <c r="A159" s="24">
        <f t="shared" ref="A159:A181" si="61">A158+1</f>
        <v>122</v>
      </c>
      <c r="B159" s="35" t="s">
        <v>28</v>
      </c>
      <c r="C159" s="103">
        <f>SUM(E159:K159)</f>
        <v>0</v>
      </c>
      <c r="D159" s="112"/>
      <c r="E159" s="31">
        <v>0</v>
      </c>
      <c r="F159" s="31">
        <v>0</v>
      </c>
      <c r="G159" s="31">
        <v>0</v>
      </c>
      <c r="H159" s="40">
        <v>0</v>
      </c>
      <c r="I159" s="40">
        <v>0</v>
      </c>
      <c r="J159" s="31">
        <v>0</v>
      </c>
      <c r="K159" s="31">
        <v>0</v>
      </c>
      <c r="L159" s="31">
        <v>0</v>
      </c>
      <c r="M159" s="32">
        <v>0</v>
      </c>
      <c r="N159" s="31">
        <v>0</v>
      </c>
      <c r="O159" s="31">
        <v>0</v>
      </c>
      <c r="P159" s="24" t="s">
        <v>25</v>
      </c>
    </row>
    <row r="160" spans="1:16" s="23" customFormat="1" ht="16.8" x14ac:dyDescent="0.3">
      <c r="A160" s="24">
        <f t="shared" si="61"/>
        <v>123</v>
      </c>
      <c r="B160" s="35" t="s">
        <v>29</v>
      </c>
      <c r="C160" s="103">
        <f>SUM(E160:O160)</f>
        <v>615424.36</v>
      </c>
      <c r="D160" s="112"/>
      <c r="E160" s="31">
        <v>0</v>
      </c>
      <c r="F160" s="31">
        <v>615424.36</v>
      </c>
      <c r="G160" s="31">
        <v>0</v>
      </c>
      <c r="H160" s="40">
        <v>0</v>
      </c>
      <c r="I160" s="40">
        <v>0</v>
      </c>
      <c r="J160" s="31">
        <v>0</v>
      </c>
      <c r="K160" s="31">
        <v>0</v>
      </c>
      <c r="L160" s="31">
        <v>0</v>
      </c>
      <c r="M160" s="32">
        <v>0</v>
      </c>
      <c r="N160" s="31">
        <v>0</v>
      </c>
      <c r="O160" s="31">
        <v>0</v>
      </c>
      <c r="P160" s="24" t="s">
        <v>25</v>
      </c>
    </row>
    <row r="161" spans="1:16" s="23" customFormat="1" ht="16.8" x14ac:dyDescent="0.3">
      <c r="A161" s="24">
        <f t="shared" si="61"/>
        <v>124</v>
      </c>
      <c r="B161" s="41" t="s">
        <v>30</v>
      </c>
      <c r="C161" s="103">
        <f>SUM(E161:K161)</f>
        <v>0</v>
      </c>
      <c r="D161" s="112"/>
      <c r="E161" s="31">
        <v>0</v>
      </c>
      <c r="F161" s="31">
        <v>0</v>
      </c>
      <c r="G161" s="31">
        <v>0</v>
      </c>
      <c r="H161" s="40">
        <v>0</v>
      </c>
      <c r="I161" s="40">
        <v>0</v>
      </c>
      <c r="J161" s="31">
        <v>0</v>
      </c>
      <c r="K161" s="31">
        <v>0</v>
      </c>
      <c r="L161" s="31">
        <v>0</v>
      </c>
      <c r="M161" s="32">
        <v>0</v>
      </c>
      <c r="N161" s="31">
        <v>0</v>
      </c>
      <c r="O161" s="31">
        <v>0</v>
      </c>
      <c r="P161" s="24" t="s">
        <v>25</v>
      </c>
    </row>
    <row r="162" spans="1:16" s="23" customFormat="1" ht="162" customHeight="1" x14ac:dyDescent="0.3">
      <c r="A162" s="24">
        <f t="shared" si="61"/>
        <v>125</v>
      </c>
      <c r="B162" s="51" t="s">
        <v>69</v>
      </c>
      <c r="C162" s="30"/>
      <c r="D162" s="30">
        <f>H162</f>
        <v>190509</v>
      </c>
      <c r="E162" s="31">
        <v>0</v>
      </c>
      <c r="F162" s="31">
        <v>0</v>
      </c>
      <c r="G162" s="31">
        <v>0</v>
      </c>
      <c r="H162" s="40">
        <f>H164</f>
        <v>190509</v>
      </c>
      <c r="I162" s="40">
        <f>I165</f>
        <v>0</v>
      </c>
      <c r="J162" s="31">
        <v>0</v>
      </c>
      <c r="K162" s="31">
        <f>SUM(K163:K165)</f>
        <v>0</v>
      </c>
      <c r="L162" s="31">
        <v>0</v>
      </c>
      <c r="M162" s="32">
        <v>0</v>
      </c>
      <c r="N162" s="31">
        <v>0</v>
      </c>
      <c r="O162" s="31">
        <v>0</v>
      </c>
      <c r="P162" s="24" t="s">
        <v>32</v>
      </c>
    </row>
    <row r="163" spans="1:16" s="23" customFormat="1" ht="16.8" x14ac:dyDescent="0.3">
      <c r="A163" s="24">
        <f t="shared" si="61"/>
        <v>126</v>
      </c>
      <c r="B163" s="35" t="s">
        <v>59</v>
      </c>
      <c r="C163" s="30"/>
      <c r="D163" s="30">
        <v>0</v>
      </c>
      <c r="E163" s="31">
        <v>0</v>
      </c>
      <c r="F163" s="31">
        <v>0</v>
      </c>
      <c r="G163" s="31">
        <v>0</v>
      </c>
      <c r="H163" s="40">
        <v>0</v>
      </c>
      <c r="I163" s="40">
        <v>0</v>
      </c>
      <c r="J163" s="31">
        <v>0</v>
      </c>
      <c r="K163" s="31">
        <v>0</v>
      </c>
      <c r="L163" s="31">
        <v>0</v>
      </c>
      <c r="M163" s="32">
        <v>0</v>
      </c>
      <c r="N163" s="31">
        <v>0</v>
      </c>
      <c r="O163" s="31">
        <v>0</v>
      </c>
      <c r="P163" s="24" t="s">
        <v>32</v>
      </c>
    </row>
    <row r="164" spans="1:16" s="23" customFormat="1" ht="16.8" x14ac:dyDescent="0.3">
      <c r="A164" s="24">
        <f t="shared" si="61"/>
        <v>127</v>
      </c>
      <c r="B164" s="35" t="s">
        <v>28</v>
      </c>
      <c r="C164" s="30"/>
      <c r="D164" s="30">
        <f t="shared" ref="D164:D181" si="62">SUM(F164:P164)</f>
        <v>190509</v>
      </c>
      <c r="E164" s="31">
        <v>0</v>
      </c>
      <c r="F164" s="31">
        <v>0</v>
      </c>
      <c r="G164" s="31">
        <v>0</v>
      </c>
      <c r="H164" s="40">
        <v>190509</v>
      </c>
      <c r="I164" s="40">
        <v>0</v>
      </c>
      <c r="J164" s="31">
        <v>0</v>
      </c>
      <c r="K164" s="31">
        <v>0</v>
      </c>
      <c r="L164" s="31">
        <v>0</v>
      </c>
      <c r="M164" s="32">
        <v>0</v>
      </c>
      <c r="N164" s="31">
        <v>0</v>
      </c>
      <c r="O164" s="31">
        <v>0</v>
      </c>
      <c r="P164" s="24" t="s">
        <v>32</v>
      </c>
    </row>
    <row r="165" spans="1:16" s="23" customFormat="1" ht="16.8" x14ac:dyDescent="0.3">
      <c r="A165" s="24">
        <f t="shared" si="61"/>
        <v>128</v>
      </c>
      <c r="B165" s="35" t="s">
        <v>29</v>
      </c>
      <c r="C165" s="30"/>
      <c r="D165" s="30">
        <f t="shared" si="62"/>
        <v>0</v>
      </c>
      <c r="E165" s="31">
        <v>0</v>
      </c>
      <c r="F165" s="31">
        <v>0</v>
      </c>
      <c r="G165" s="31">
        <v>0</v>
      </c>
      <c r="H165" s="40">
        <v>0</v>
      </c>
      <c r="I165" s="40">
        <v>0</v>
      </c>
      <c r="J165" s="31">
        <v>0</v>
      </c>
      <c r="K165" s="31">
        <v>0</v>
      </c>
      <c r="L165" s="31">
        <v>0</v>
      </c>
      <c r="M165" s="32">
        <v>0</v>
      </c>
      <c r="N165" s="31">
        <v>0</v>
      </c>
      <c r="O165" s="31">
        <v>0</v>
      </c>
      <c r="P165" s="24" t="s">
        <v>32</v>
      </c>
    </row>
    <row r="166" spans="1:16" s="49" customFormat="1" ht="61.5" customHeight="1" x14ac:dyDescent="0.3">
      <c r="A166" s="24">
        <f t="shared" si="61"/>
        <v>129</v>
      </c>
      <c r="B166" s="51" t="s">
        <v>70</v>
      </c>
      <c r="C166" s="30"/>
      <c r="D166" s="30">
        <f t="shared" si="62"/>
        <v>2422090.6799999997</v>
      </c>
      <c r="E166" s="30">
        <v>0</v>
      </c>
      <c r="F166" s="30">
        <v>0</v>
      </c>
      <c r="G166" s="30">
        <v>0</v>
      </c>
      <c r="H166" s="39">
        <f>H168</f>
        <v>0</v>
      </c>
      <c r="I166" s="39">
        <f>I169</f>
        <v>0</v>
      </c>
      <c r="J166" s="30">
        <v>0</v>
      </c>
      <c r="K166" s="30">
        <f>SUM(K167:K169)</f>
        <v>195474.15</v>
      </c>
      <c r="L166" s="30">
        <f>SUM(L167:L169)</f>
        <v>1809519.71</v>
      </c>
      <c r="M166" s="37">
        <f>SUM(M167:M169)</f>
        <v>32878.820000000007</v>
      </c>
      <c r="N166" s="30">
        <f>SUM(N167:N169)</f>
        <v>190837</v>
      </c>
      <c r="O166" s="30">
        <f>SUM(O167:O169)</f>
        <v>193381</v>
      </c>
      <c r="P166" s="36" t="s">
        <v>32</v>
      </c>
    </row>
    <row r="167" spans="1:16" s="23" customFormat="1" ht="16.8" x14ac:dyDescent="0.3">
      <c r="A167" s="24">
        <f t="shared" si="61"/>
        <v>130</v>
      </c>
      <c r="B167" s="35" t="s">
        <v>59</v>
      </c>
      <c r="C167" s="30"/>
      <c r="D167" s="30">
        <f t="shared" si="62"/>
        <v>0</v>
      </c>
      <c r="E167" s="31">
        <v>0</v>
      </c>
      <c r="F167" s="31">
        <v>0</v>
      </c>
      <c r="G167" s="31">
        <v>0</v>
      </c>
      <c r="H167" s="40">
        <v>0</v>
      </c>
      <c r="I167" s="40">
        <v>0</v>
      </c>
      <c r="J167" s="31">
        <v>0</v>
      </c>
      <c r="K167" s="31">
        <v>0</v>
      </c>
      <c r="L167" s="31">
        <v>0</v>
      </c>
      <c r="M167" s="32">
        <v>0</v>
      </c>
      <c r="N167" s="31">
        <v>0</v>
      </c>
      <c r="O167" s="31">
        <v>0</v>
      </c>
      <c r="P167" s="24" t="s">
        <v>32</v>
      </c>
    </row>
    <row r="168" spans="1:16" s="23" customFormat="1" ht="16.8" x14ac:dyDescent="0.3">
      <c r="A168" s="24">
        <f t="shared" si="61"/>
        <v>131</v>
      </c>
      <c r="B168" s="35" t="s">
        <v>28</v>
      </c>
      <c r="C168" s="30"/>
      <c r="D168" s="30">
        <f t="shared" si="62"/>
        <v>0</v>
      </c>
      <c r="E168" s="31">
        <v>0</v>
      </c>
      <c r="F168" s="31">
        <v>0</v>
      </c>
      <c r="G168" s="31">
        <v>0</v>
      </c>
      <c r="H168" s="40">
        <v>0</v>
      </c>
      <c r="I168" s="40">
        <v>0</v>
      </c>
      <c r="J168" s="31">
        <v>0</v>
      </c>
      <c r="K168" s="31">
        <v>0</v>
      </c>
      <c r="L168" s="31">
        <v>0</v>
      </c>
      <c r="M168" s="32">
        <v>0</v>
      </c>
      <c r="N168" s="31">
        <v>0</v>
      </c>
      <c r="O168" s="31">
        <v>0</v>
      </c>
      <c r="P168" s="24" t="s">
        <v>32</v>
      </c>
    </row>
    <row r="169" spans="1:16" s="23" customFormat="1" ht="16.8" x14ac:dyDescent="0.3">
      <c r="A169" s="24">
        <f t="shared" si="61"/>
        <v>132</v>
      </c>
      <c r="B169" s="35" t="s">
        <v>29</v>
      </c>
      <c r="C169" s="30"/>
      <c r="D169" s="30">
        <f t="shared" si="62"/>
        <v>2422090.6799999997</v>
      </c>
      <c r="E169" s="31">
        <v>0</v>
      </c>
      <c r="F169" s="31">
        <v>0</v>
      </c>
      <c r="G169" s="31">
        <v>0</v>
      </c>
      <c r="H169" s="40">
        <v>0</v>
      </c>
      <c r="I169" s="40">
        <v>0</v>
      </c>
      <c r="J169" s="31">
        <v>0</v>
      </c>
      <c r="K169" s="31">
        <f>377000-181525.85</f>
        <v>195474.15</v>
      </c>
      <c r="L169" s="31">
        <v>1809519.71</v>
      </c>
      <c r="M169" s="32">
        <f>185000-152121.18</f>
        <v>32878.820000000007</v>
      </c>
      <c r="N169" s="31">
        <v>190837</v>
      </c>
      <c r="O169" s="31">
        <v>193381</v>
      </c>
      <c r="P169" s="24" t="s">
        <v>32</v>
      </c>
    </row>
    <row r="170" spans="1:16" s="49" customFormat="1" ht="166.5" customHeight="1" x14ac:dyDescent="0.3">
      <c r="A170" s="24">
        <f t="shared" si="61"/>
        <v>133</v>
      </c>
      <c r="B170" s="51" t="s">
        <v>71</v>
      </c>
      <c r="C170" s="30"/>
      <c r="D170" s="30">
        <f t="shared" si="62"/>
        <v>200600</v>
      </c>
      <c r="E170" s="30">
        <v>0</v>
      </c>
      <c r="F170" s="30">
        <v>0</v>
      </c>
      <c r="G170" s="30">
        <v>0</v>
      </c>
      <c r="H170" s="39">
        <f>H172</f>
        <v>0</v>
      </c>
      <c r="I170" s="39">
        <f>I173</f>
        <v>0</v>
      </c>
      <c r="J170" s="30">
        <v>0</v>
      </c>
      <c r="K170" s="30">
        <f>SUM(K171:K173)</f>
        <v>200600</v>
      </c>
      <c r="L170" s="30">
        <v>0</v>
      </c>
      <c r="M170" s="37">
        <v>0</v>
      </c>
      <c r="N170" s="30">
        <v>0</v>
      </c>
      <c r="O170" s="30">
        <v>0</v>
      </c>
      <c r="P170" s="36" t="s">
        <v>32</v>
      </c>
    </row>
    <row r="171" spans="1:16" s="23" customFormat="1" ht="16.8" x14ac:dyDescent="0.3">
      <c r="A171" s="24">
        <f t="shared" si="61"/>
        <v>134</v>
      </c>
      <c r="B171" s="35" t="s">
        <v>59</v>
      </c>
      <c r="C171" s="30"/>
      <c r="D171" s="30">
        <f t="shared" si="62"/>
        <v>0</v>
      </c>
      <c r="E171" s="31">
        <v>0</v>
      </c>
      <c r="F171" s="31">
        <v>0</v>
      </c>
      <c r="G171" s="31">
        <v>0</v>
      </c>
      <c r="H171" s="40">
        <v>0</v>
      </c>
      <c r="I171" s="40">
        <v>0</v>
      </c>
      <c r="J171" s="31">
        <v>0</v>
      </c>
      <c r="K171" s="31">
        <v>0</v>
      </c>
      <c r="L171" s="31">
        <v>0</v>
      </c>
      <c r="M171" s="32">
        <v>0</v>
      </c>
      <c r="N171" s="31">
        <v>0</v>
      </c>
      <c r="O171" s="31">
        <v>0</v>
      </c>
      <c r="P171" s="24" t="s">
        <v>32</v>
      </c>
    </row>
    <row r="172" spans="1:16" s="23" customFormat="1" ht="16.8" x14ac:dyDescent="0.3">
      <c r="A172" s="24">
        <f t="shared" si="61"/>
        <v>135</v>
      </c>
      <c r="B172" s="35" t="s">
        <v>28</v>
      </c>
      <c r="C172" s="30"/>
      <c r="D172" s="30">
        <f t="shared" si="62"/>
        <v>200600</v>
      </c>
      <c r="E172" s="31">
        <v>0</v>
      </c>
      <c r="F172" s="31">
        <v>0</v>
      </c>
      <c r="G172" s="31">
        <v>0</v>
      </c>
      <c r="H172" s="40">
        <v>0</v>
      </c>
      <c r="I172" s="40">
        <v>0</v>
      </c>
      <c r="J172" s="31">
        <v>0</v>
      </c>
      <c r="K172" s="31">
        <f>180600+20000</f>
        <v>200600</v>
      </c>
      <c r="L172" s="31">
        <v>0</v>
      </c>
      <c r="M172" s="32">
        <v>0</v>
      </c>
      <c r="N172" s="31">
        <v>0</v>
      </c>
      <c r="O172" s="31">
        <v>0</v>
      </c>
      <c r="P172" s="24" t="s">
        <v>32</v>
      </c>
    </row>
    <row r="173" spans="1:16" s="23" customFormat="1" ht="16.8" x14ac:dyDescent="0.3">
      <c r="A173" s="24">
        <f t="shared" si="61"/>
        <v>136</v>
      </c>
      <c r="B173" s="35" t="s">
        <v>29</v>
      </c>
      <c r="C173" s="30"/>
      <c r="D173" s="30">
        <f t="shared" si="62"/>
        <v>0</v>
      </c>
      <c r="E173" s="31">
        <v>0</v>
      </c>
      <c r="F173" s="31">
        <v>0</v>
      </c>
      <c r="G173" s="31">
        <v>0</v>
      </c>
      <c r="H173" s="40">
        <v>0</v>
      </c>
      <c r="I173" s="40">
        <v>0</v>
      </c>
      <c r="J173" s="31">
        <v>0</v>
      </c>
      <c r="K173" s="31">
        <v>0</v>
      </c>
      <c r="L173" s="31">
        <v>0</v>
      </c>
      <c r="M173" s="32">
        <v>0</v>
      </c>
      <c r="N173" s="31">
        <v>0</v>
      </c>
      <c r="O173" s="31">
        <v>0</v>
      </c>
      <c r="P173" s="24" t="s">
        <v>32</v>
      </c>
    </row>
    <row r="174" spans="1:16" s="49" customFormat="1" ht="102.75" customHeight="1" x14ac:dyDescent="0.3">
      <c r="A174" s="24">
        <f t="shared" si="61"/>
        <v>137</v>
      </c>
      <c r="B174" s="51" t="s">
        <v>72</v>
      </c>
      <c r="C174" s="30"/>
      <c r="D174" s="30">
        <f t="shared" si="62"/>
        <v>3682531.18</v>
      </c>
      <c r="E174" s="30">
        <v>0</v>
      </c>
      <c r="F174" s="30">
        <v>0</v>
      </c>
      <c r="G174" s="30">
        <v>0</v>
      </c>
      <c r="H174" s="39">
        <f>H176</f>
        <v>0</v>
      </c>
      <c r="I174" s="39">
        <f>I177</f>
        <v>0</v>
      </c>
      <c r="J174" s="30">
        <v>0</v>
      </c>
      <c r="K174" s="30">
        <f>SUM(K175:K177)</f>
        <v>2091824</v>
      </c>
      <c r="L174" s="30">
        <f>SUM(L175:L177)</f>
        <v>715530</v>
      </c>
      <c r="M174" s="37">
        <f>SUM(M175:M177)</f>
        <v>452121.18</v>
      </c>
      <c r="N174" s="30">
        <f>SUM(N175:N177)</f>
        <v>109465</v>
      </c>
      <c r="O174" s="30">
        <f>SUM(O175:O177)</f>
        <v>313591</v>
      </c>
      <c r="P174" s="36" t="s">
        <v>32</v>
      </c>
    </row>
    <row r="175" spans="1:16" s="23" customFormat="1" ht="16.8" x14ac:dyDescent="0.3">
      <c r="A175" s="24">
        <f t="shared" si="61"/>
        <v>138</v>
      </c>
      <c r="B175" s="35" t="s">
        <v>59</v>
      </c>
      <c r="C175" s="30"/>
      <c r="D175" s="30">
        <f t="shared" si="62"/>
        <v>0</v>
      </c>
      <c r="E175" s="31">
        <v>0</v>
      </c>
      <c r="F175" s="31">
        <v>0</v>
      </c>
      <c r="G175" s="31">
        <v>0</v>
      </c>
      <c r="H175" s="40">
        <v>0</v>
      </c>
      <c r="I175" s="40">
        <v>0</v>
      </c>
      <c r="J175" s="31">
        <v>0</v>
      </c>
      <c r="K175" s="31">
        <v>0</v>
      </c>
      <c r="L175" s="31">
        <v>0</v>
      </c>
      <c r="M175" s="32">
        <v>0</v>
      </c>
      <c r="N175" s="31">
        <v>0</v>
      </c>
      <c r="O175" s="31">
        <v>0</v>
      </c>
      <c r="P175" s="24" t="s">
        <v>32</v>
      </c>
    </row>
    <row r="176" spans="1:16" s="23" customFormat="1" ht="16.8" x14ac:dyDescent="0.3">
      <c r="A176" s="24">
        <f t="shared" si="61"/>
        <v>139</v>
      </c>
      <c r="B176" s="35" t="s">
        <v>28</v>
      </c>
      <c r="C176" s="30"/>
      <c r="D176" s="30">
        <f t="shared" si="62"/>
        <v>0</v>
      </c>
      <c r="E176" s="31">
        <v>0</v>
      </c>
      <c r="F176" s="31">
        <v>0</v>
      </c>
      <c r="G176" s="31">
        <v>0</v>
      </c>
      <c r="H176" s="40">
        <v>0</v>
      </c>
      <c r="I176" s="40">
        <v>0</v>
      </c>
      <c r="J176" s="31">
        <v>0</v>
      </c>
      <c r="K176" s="31">
        <v>0</v>
      </c>
      <c r="L176" s="31">
        <v>0</v>
      </c>
      <c r="M176" s="32">
        <v>0</v>
      </c>
      <c r="N176" s="31">
        <v>0</v>
      </c>
      <c r="O176" s="31">
        <v>0</v>
      </c>
      <c r="P176" s="24" t="s">
        <v>32</v>
      </c>
    </row>
    <row r="177" spans="1:16" s="23" customFormat="1" ht="16.8" x14ac:dyDescent="0.3">
      <c r="A177" s="24">
        <f t="shared" si="61"/>
        <v>140</v>
      </c>
      <c r="B177" s="35" t="s">
        <v>29</v>
      </c>
      <c r="C177" s="30"/>
      <c r="D177" s="30">
        <f t="shared" si="62"/>
        <v>3682531.18</v>
      </c>
      <c r="E177" s="31">
        <v>0</v>
      </c>
      <c r="F177" s="31">
        <v>0</v>
      </c>
      <c r="G177" s="31">
        <v>0</v>
      </c>
      <c r="H177" s="40">
        <v>0</v>
      </c>
      <c r="I177" s="40">
        <v>0</v>
      </c>
      <c r="J177" s="31">
        <v>0</v>
      </c>
      <c r="K177" s="31">
        <f>455824+1636000</f>
        <v>2091824</v>
      </c>
      <c r="L177" s="31">
        <v>715530</v>
      </c>
      <c r="M177" s="32">
        <f>300000+152121.18</f>
        <v>452121.18</v>
      </c>
      <c r="N177" s="31">
        <f>309465-200000</f>
        <v>109465</v>
      </c>
      <c r="O177" s="31">
        <v>313591</v>
      </c>
      <c r="P177" s="24" t="s">
        <v>32</v>
      </c>
    </row>
    <row r="178" spans="1:16" s="49" customFormat="1" ht="72.75" customHeight="1" x14ac:dyDescent="0.3">
      <c r="A178" s="24">
        <f t="shared" si="61"/>
        <v>141</v>
      </c>
      <c r="B178" s="51" t="s">
        <v>73</v>
      </c>
      <c r="C178" s="30"/>
      <c r="D178" s="30">
        <f t="shared" si="62"/>
        <v>200000</v>
      </c>
      <c r="E178" s="30">
        <v>0</v>
      </c>
      <c r="F178" s="30">
        <v>0</v>
      </c>
      <c r="G178" s="30">
        <v>0</v>
      </c>
      <c r="H178" s="39">
        <f>H180</f>
        <v>0</v>
      </c>
      <c r="I178" s="39">
        <f>I181</f>
        <v>0</v>
      </c>
      <c r="J178" s="30">
        <v>0</v>
      </c>
      <c r="K178" s="30">
        <f>SUM(K179:K181)</f>
        <v>0</v>
      </c>
      <c r="L178" s="30">
        <f>SUM(L179:L181)</f>
        <v>0</v>
      </c>
      <c r="M178" s="37">
        <f>SUM(M179:M181)</f>
        <v>0</v>
      </c>
      <c r="N178" s="30">
        <f>SUM(N179:N181)</f>
        <v>200000</v>
      </c>
      <c r="O178" s="30">
        <f>SUM(O179:O181)</f>
        <v>0</v>
      </c>
      <c r="P178" s="36" t="s">
        <v>32</v>
      </c>
    </row>
    <row r="179" spans="1:16" s="23" customFormat="1" ht="16.8" x14ac:dyDescent="0.3">
      <c r="A179" s="24">
        <f t="shared" si="61"/>
        <v>142</v>
      </c>
      <c r="B179" s="35" t="s">
        <v>59</v>
      </c>
      <c r="C179" s="30"/>
      <c r="D179" s="30">
        <f t="shared" si="62"/>
        <v>0</v>
      </c>
      <c r="E179" s="31">
        <v>0</v>
      </c>
      <c r="F179" s="31">
        <v>0</v>
      </c>
      <c r="G179" s="31">
        <v>0</v>
      </c>
      <c r="H179" s="40">
        <v>0</v>
      </c>
      <c r="I179" s="40">
        <v>0</v>
      </c>
      <c r="J179" s="31">
        <v>0</v>
      </c>
      <c r="K179" s="31">
        <v>0</v>
      </c>
      <c r="L179" s="31">
        <v>0</v>
      </c>
      <c r="M179" s="32">
        <v>0</v>
      </c>
      <c r="N179" s="31">
        <v>0</v>
      </c>
      <c r="O179" s="31">
        <v>0</v>
      </c>
      <c r="P179" s="24" t="s">
        <v>32</v>
      </c>
    </row>
    <row r="180" spans="1:16" s="23" customFormat="1" ht="16.8" x14ac:dyDescent="0.3">
      <c r="A180" s="24">
        <f t="shared" si="61"/>
        <v>143</v>
      </c>
      <c r="B180" s="35" t="s">
        <v>28</v>
      </c>
      <c r="C180" s="30"/>
      <c r="D180" s="30">
        <f t="shared" si="62"/>
        <v>0</v>
      </c>
      <c r="E180" s="31">
        <v>0</v>
      </c>
      <c r="F180" s="31">
        <v>0</v>
      </c>
      <c r="G180" s="31">
        <v>0</v>
      </c>
      <c r="H180" s="40">
        <v>0</v>
      </c>
      <c r="I180" s="40">
        <v>0</v>
      </c>
      <c r="J180" s="31">
        <v>0</v>
      </c>
      <c r="K180" s="31">
        <v>0</v>
      </c>
      <c r="L180" s="31">
        <v>0</v>
      </c>
      <c r="M180" s="32">
        <v>0</v>
      </c>
      <c r="N180" s="31">
        <v>0</v>
      </c>
      <c r="O180" s="31">
        <v>0</v>
      </c>
      <c r="P180" s="24" t="s">
        <v>32</v>
      </c>
    </row>
    <row r="181" spans="1:16" s="23" customFormat="1" ht="16.8" x14ac:dyDescent="0.3">
      <c r="A181" s="24">
        <f t="shared" si="61"/>
        <v>144</v>
      </c>
      <c r="B181" s="35" t="s">
        <v>29</v>
      </c>
      <c r="C181" s="30"/>
      <c r="D181" s="30">
        <f t="shared" si="62"/>
        <v>200000</v>
      </c>
      <c r="E181" s="31">
        <v>0</v>
      </c>
      <c r="F181" s="31">
        <v>0</v>
      </c>
      <c r="G181" s="31">
        <v>0</v>
      </c>
      <c r="H181" s="40">
        <v>0</v>
      </c>
      <c r="I181" s="40">
        <v>0</v>
      </c>
      <c r="J181" s="31">
        <v>0</v>
      </c>
      <c r="K181" s="31">
        <v>0</v>
      </c>
      <c r="L181" s="31">
        <v>0</v>
      </c>
      <c r="M181" s="32">
        <v>0</v>
      </c>
      <c r="N181" s="31">
        <v>200000</v>
      </c>
      <c r="O181" s="31">
        <v>0</v>
      </c>
      <c r="P181" s="24" t="s">
        <v>32</v>
      </c>
    </row>
    <row r="182" spans="1:16" s="23" customFormat="1" ht="26.25" customHeight="1" x14ac:dyDescent="0.3">
      <c r="A182" s="97" t="s">
        <v>74</v>
      </c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98"/>
    </row>
    <row r="183" spans="1:16" s="23" customFormat="1" ht="67.5" customHeight="1" x14ac:dyDescent="0.3">
      <c r="A183" s="24">
        <v>145</v>
      </c>
      <c r="B183" s="97" t="s">
        <v>75</v>
      </c>
      <c r="C183" s="98"/>
      <c r="D183" s="30">
        <f>SUM(E183:O183)</f>
        <v>795109</v>
      </c>
      <c r="E183" s="30">
        <f t="shared" ref="E183:O183" si="63">SUM(E184:E187)</f>
        <v>143000</v>
      </c>
      <c r="F183" s="30">
        <f t="shared" si="63"/>
        <v>182960</v>
      </c>
      <c r="G183" s="30">
        <f t="shared" si="63"/>
        <v>55500</v>
      </c>
      <c r="H183" s="39">
        <f t="shared" si="63"/>
        <v>31388</v>
      </c>
      <c r="I183" s="39">
        <f t="shared" si="63"/>
        <v>71727</v>
      </c>
      <c r="J183" s="30">
        <f t="shared" si="63"/>
        <v>54000</v>
      </c>
      <c r="K183" s="30">
        <f t="shared" si="63"/>
        <v>26000</v>
      </c>
      <c r="L183" s="30">
        <f t="shared" si="63"/>
        <v>54000</v>
      </c>
      <c r="M183" s="37">
        <f t="shared" si="63"/>
        <v>27000</v>
      </c>
      <c r="N183" s="30">
        <f t="shared" si="63"/>
        <v>74272</v>
      </c>
      <c r="O183" s="30">
        <f t="shared" si="63"/>
        <v>75262</v>
      </c>
      <c r="P183" s="24" t="s">
        <v>32</v>
      </c>
    </row>
    <row r="184" spans="1:16" s="23" customFormat="1" ht="16.8" x14ac:dyDescent="0.3">
      <c r="A184" s="24">
        <f>A183+1</f>
        <v>146</v>
      </c>
      <c r="B184" s="95" t="s">
        <v>27</v>
      </c>
      <c r="C184" s="96"/>
      <c r="D184" s="30">
        <f>SUM(E184:O184)</f>
        <v>0</v>
      </c>
      <c r="E184" s="31">
        <f t="shared" ref="E184:K187" si="64">E190</f>
        <v>0</v>
      </c>
      <c r="F184" s="31">
        <f t="shared" si="64"/>
        <v>0</v>
      </c>
      <c r="G184" s="31">
        <f t="shared" si="64"/>
        <v>0</v>
      </c>
      <c r="H184" s="40">
        <f t="shared" si="64"/>
        <v>0</v>
      </c>
      <c r="I184" s="40">
        <f t="shared" si="64"/>
        <v>0</v>
      </c>
      <c r="J184" s="31">
        <f t="shared" si="64"/>
        <v>0</v>
      </c>
      <c r="K184" s="31">
        <f t="shared" si="64"/>
        <v>0</v>
      </c>
      <c r="L184" s="31">
        <v>0</v>
      </c>
      <c r="M184" s="32">
        <v>0</v>
      </c>
      <c r="N184" s="31">
        <v>0</v>
      </c>
      <c r="O184" s="31">
        <v>0</v>
      </c>
      <c r="P184" s="24" t="s">
        <v>32</v>
      </c>
    </row>
    <row r="185" spans="1:16" s="23" customFormat="1" ht="16.8" x14ac:dyDescent="0.3">
      <c r="A185" s="24">
        <f>A184+1</f>
        <v>147</v>
      </c>
      <c r="B185" s="95" t="s">
        <v>28</v>
      </c>
      <c r="C185" s="96"/>
      <c r="D185" s="30">
        <f>SUM(E185:O185)</f>
        <v>111000</v>
      </c>
      <c r="E185" s="31">
        <f t="shared" si="64"/>
        <v>0</v>
      </c>
      <c r="F185" s="31">
        <f t="shared" si="64"/>
        <v>91000</v>
      </c>
      <c r="G185" s="31">
        <f t="shared" si="64"/>
        <v>0</v>
      </c>
      <c r="H185" s="40">
        <f t="shared" si="64"/>
        <v>0</v>
      </c>
      <c r="I185" s="40">
        <f t="shared" si="64"/>
        <v>20000</v>
      </c>
      <c r="J185" s="31">
        <f t="shared" si="64"/>
        <v>0</v>
      </c>
      <c r="K185" s="31">
        <f t="shared" si="64"/>
        <v>0</v>
      </c>
      <c r="L185" s="31">
        <v>0</v>
      </c>
      <c r="M185" s="32">
        <v>0</v>
      </c>
      <c r="N185" s="31">
        <v>0</v>
      </c>
      <c r="O185" s="31">
        <v>0</v>
      </c>
      <c r="P185" s="24" t="s">
        <v>32</v>
      </c>
    </row>
    <row r="186" spans="1:16" s="23" customFormat="1" ht="16.8" x14ac:dyDescent="0.3">
      <c r="A186" s="24">
        <f>A185+1</f>
        <v>148</v>
      </c>
      <c r="B186" s="95" t="s">
        <v>29</v>
      </c>
      <c r="C186" s="96"/>
      <c r="D186" s="30">
        <f>SUM(E186:O186)</f>
        <v>684109</v>
      </c>
      <c r="E186" s="31">
        <f t="shared" si="64"/>
        <v>143000</v>
      </c>
      <c r="F186" s="31">
        <f t="shared" si="64"/>
        <v>91960</v>
      </c>
      <c r="G186" s="31">
        <f t="shared" si="64"/>
        <v>55500</v>
      </c>
      <c r="H186" s="40">
        <f t="shared" si="64"/>
        <v>31388</v>
      </c>
      <c r="I186" s="40">
        <f t="shared" si="64"/>
        <v>51727</v>
      </c>
      <c r="J186" s="31">
        <f t="shared" si="64"/>
        <v>54000</v>
      </c>
      <c r="K186" s="31">
        <f t="shared" si="64"/>
        <v>26000</v>
      </c>
      <c r="L186" s="31">
        <f>L192</f>
        <v>54000</v>
      </c>
      <c r="M186" s="32">
        <f>M192</f>
        <v>27000</v>
      </c>
      <c r="N186" s="31">
        <f>N192</f>
        <v>74272</v>
      </c>
      <c r="O186" s="31">
        <f>O192</f>
        <v>75262</v>
      </c>
      <c r="P186" s="24" t="s">
        <v>32</v>
      </c>
    </row>
    <row r="187" spans="1:16" s="23" customFormat="1" ht="16.8" x14ac:dyDescent="0.3">
      <c r="A187" s="24">
        <f>A186+1</f>
        <v>149</v>
      </c>
      <c r="B187" s="95" t="s">
        <v>30</v>
      </c>
      <c r="C187" s="96"/>
      <c r="D187" s="30">
        <f>SUM(E187:K187)</f>
        <v>0</v>
      </c>
      <c r="E187" s="31">
        <f t="shared" si="64"/>
        <v>0</v>
      </c>
      <c r="F187" s="31">
        <f t="shared" si="64"/>
        <v>0</v>
      </c>
      <c r="G187" s="31">
        <f t="shared" si="64"/>
        <v>0</v>
      </c>
      <c r="H187" s="40">
        <f t="shared" si="64"/>
        <v>0</v>
      </c>
      <c r="I187" s="40">
        <f t="shared" si="64"/>
        <v>0</v>
      </c>
      <c r="J187" s="31">
        <f t="shared" si="64"/>
        <v>0</v>
      </c>
      <c r="K187" s="31">
        <f t="shared" si="64"/>
        <v>0</v>
      </c>
      <c r="L187" s="31">
        <v>0</v>
      </c>
      <c r="M187" s="32">
        <v>0</v>
      </c>
      <c r="N187" s="31">
        <v>0</v>
      </c>
      <c r="O187" s="31">
        <v>0</v>
      </c>
      <c r="P187" s="24" t="s">
        <v>32</v>
      </c>
    </row>
    <row r="188" spans="1:16" s="23" customFormat="1" ht="24.75" customHeight="1" x14ac:dyDescent="0.3">
      <c r="A188" s="97">
        <v>10</v>
      </c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98"/>
    </row>
    <row r="189" spans="1:16" s="23" customFormat="1" ht="16.8" x14ac:dyDescent="0.3">
      <c r="A189" s="24">
        <f>A187+1</f>
        <v>150</v>
      </c>
      <c r="B189" s="97" t="s">
        <v>31</v>
      </c>
      <c r="C189" s="98"/>
      <c r="D189" s="30">
        <f>SUM(E189:O189)</f>
        <v>795109</v>
      </c>
      <c r="E189" s="30">
        <f t="shared" ref="E189:O189" si="65">SUM(E190:E193)</f>
        <v>143000</v>
      </c>
      <c r="F189" s="30">
        <f t="shared" si="65"/>
        <v>182960</v>
      </c>
      <c r="G189" s="30">
        <f t="shared" si="65"/>
        <v>55500</v>
      </c>
      <c r="H189" s="39">
        <f t="shared" si="65"/>
        <v>31388</v>
      </c>
      <c r="I189" s="39">
        <f t="shared" si="65"/>
        <v>71727</v>
      </c>
      <c r="J189" s="30">
        <f t="shared" si="65"/>
        <v>54000</v>
      </c>
      <c r="K189" s="30">
        <f t="shared" si="65"/>
        <v>26000</v>
      </c>
      <c r="L189" s="30">
        <f t="shared" si="65"/>
        <v>54000</v>
      </c>
      <c r="M189" s="37">
        <f t="shared" si="65"/>
        <v>27000</v>
      </c>
      <c r="N189" s="30">
        <f t="shared" si="65"/>
        <v>74272</v>
      </c>
      <c r="O189" s="30">
        <f t="shared" si="65"/>
        <v>75262</v>
      </c>
      <c r="P189" s="24" t="s">
        <v>32</v>
      </c>
    </row>
    <row r="190" spans="1:16" s="23" customFormat="1" ht="16.8" x14ac:dyDescent="0.3">
      <c r="A190" s="24">
        <f>A189+1</f>
        <v>151</v>
      </c>
      <c r="B190" s="95" t="s">
        <v>27</v>
      </c>
      <c r="C190" s="96"/>
      <c r="D190" s="30">
        <f>SUM(E190:K190)</f>
        <v>0</v>
      </c>
      <c r="E190" s="31">
        <f t="shared" ref="E190:K193" si="66">E196</f>
        <v>0</v>
      </c>
      <c r="F190" s="31">
        <f t="shared" si="66"/>
        <v>0</v>
      </c>
      <c r="G190" s="31">
        <f t="shared" si="66"/>
        <v>0</v>
      </c>
      <c r="H190" s="40">
        <f t="shared" si="66"/>
        <v>0</v>
      </c>
      <c r="I190" s="40">
        <f t="shared" si="66"/>
        <v>0</v>
      </c>
      <c r="J190" s="31">
        <f t="shared" si="66"/>
        <v>0</v>
      </c>
      <c r="K190" s="31">
        <f t="shared" si="66"/>
        <v>0</v>
      </c>
      <c r="L190" s="31">
        <v>0</v>
      </c>
      <c r="M190" s="32">
        <v>0</v>
      </c>
      <c r="N190" s="31">
        <v>0</v>
      </c>
      <c r="O190" s="31">
        <v>0</v>
      </c>
      <c r="P190" s="24" t="s">
        <v>32</v>
      </c>
    </row>
    <row r="191" spans="1:16" s="23" customFormat="1" ht="16.8" x14ac:dyDescent="0.3">
      <c r="A191" s="24">
        <f>A190+1</f>
        <v>152</v>
      </c>
      <c r="B191" s="95" t="s">
        <v>28</v>
      </c>
      <c r="C191" s="96"/>
      <c r="D191" s="30">
        <f>SUM(E191:O191)</f>
        <v>111000</v>
      </c>
      <c r="E191" s="31">
        <f t="shared" si="66"/>
        <v>0</v>
      </c>
      <c r="F191" s="31">
        <f t="shared" si="66"/>
        <v>91000</v>
      </c>
      <c r="G191" s="31">
        <f t="shared" si="66"/>
        <v>0</v>
      </c>
      <c r="H191" s="40">
        <f t="shared" si="66"/>
        <v>0</v>
      </c>
      <c r="I191" s="40">
        <f t="shared" si="66"/>
        <v>20000</v>
      </c>
      <c r="J191" s="31">
        <f t="shared" si="66"/>
        <v>0</v>
      </c>
      <c r="K191" s="31">
        <f t="shared" si="66"/>
        <v>0</v>
      </c>
      <c r="L191" s="31">
        <v>0</v>
      </c>
      <c r="M191" s="32">
        <v>0</v>
      </c>
      <c r="N191" s="31">
        <v>0</v>
      </c>
      <c r="O191" s="31">
        <v>0</v>
      </c>
      <c r="P191" s="24" t="s">
        <v>32</v>
      </c>
    </row>
    <row r="192" spans="1:16" s="23" customFormat="1" ht="16.8" x14ac:dyDescent="0.3">
      <c r="A192" s="24">
        <f>A191+1</f>
        <v>153</v>
      </c>
      <c r="B192" s="95" t="s">
        <v>29</v>
      </c>
      <c r="C192" s="96"/>
      <c r="D192" s="30">
        <f>SUM(E192:O192)</f>
        <v>684109</v>
      </c>
      <c r="E192" s="31">
        <f t="shared" si="66"/>
        <v>143000</v>
      </c>
      <c r="F192" s="31">
        <f t="shared" si="66"/>
        <v>91960</v>
      </c>
      <c r="G192" s="31">
        <f t="shared" si="66"/>
        <v>55500</v>
      </c>
      <c r="H192" s="40">
        <f t="shared" si="66"/>
        <v>31388</v>
      </c>
      <c r="I192" s="40">
        <f t="shared" si="66"/>
        <v>51727</v>
      </c>
      <c r="J192" s="31">
        <f t="shared" si="66"/>
        <v>54000</v>
      </c>
      <c r="K192" s="31">
        <f t="shared" si="66"/>
        <v>26000</v>
      </c>
      <c r="L192" s="31">
        <f>L198</f>
        <v>54000</v>
      </c>
      <c r="M192" s="32">
        <f>M198</f>
        <v>27000</v>
      </c>
      <c r="N192" s="31">
        <f>N198</f>
        <v>74272</v>
      </c>
      <c r="O192" s="31">
        <f>O198</f>
        <v>75262</v>
      </c>
      <c r="P192" s="24" t="s">
        <v>32</v>
      </c>
    </row>
    <row r="193" spans="1:28" s="23" customFormat="1" ht="16.8" x14ac:dyDescent="0.3">
      <c r="A193" s="24">
        <f>A192+1</f>
        <v>154</v>
      </c>
      <c r="B193" s="91" t="s">
        <v>30</v>
      </c>
      <c r="C193" s="92"/>
      <c r="D193" s="30">
        <f>SUM(E193:K193)</f>
        <v>0</v>
      </c>
      <c r="E193" s="31">
        <f t="shared" si="66"/>
        <v>0</v>
      </c>
      <c r="F193" s="31">
        <f t="shared" si="66"/>
        <v>0</v>
      </c>
      <c r="G193" s="31">
        <f t="shared" si="66"/>
        <v>0</v>
      </c>
      <c r="H193" s="40">
        <f t="shared" si="66"/>
        <v>0</v>
      </c>
      <c r="I193" s="40">
        <f t="shared" si="66"/>
        <v>0</v>
      </c>
      <c r="J193" s="31">
        <f t="shared" si="66"/>
        <v>0</v>
      </c>
      <c r="K193" s="31">
        <f t="shared" si="66"/>
        <v>0</v>
      </c>
      <c r="L193" s="31">
        <v>0</v>
      </c>
      <c r="M193" s="32">
        <v>0</v>
      </c>
      <c r="N193" s="31">
        <v>0</v>
      </c>
      <c r="O193" s="31">
        <v>0</v>
      </c>
      <c r="P193" s="24" t="s">
        <v>32</v>
      </c>
    </row>
    <row r="194" spans="1:28" s="56" customFormat="1" ht="16.8" x14ac:dyDescent="0.3">
      <c r="A194" s="85">
        <f>A193+1</f>
        <v>155</v>
      </c>
      <c r="B194" s="87" t="s">
        <v>52</v>
      </c>
      <c r="C194" s="88"/>
      <c r="D194" s="89">
        <f>SUM(E194:O195)</f>
        <v>795109</v>
      </c>
      <c r="E194" s="89">
        <f t="shared" ref="E194:O194" si="67">SUM(E196:E199)</f>
        <v>143000</v>
      </c>
      <c r="F194" s="89">
        <f t="shared" si="67"/>
        <v>182960</v>
      </c>
      <c r="G194" s="89">
        <f t="shared" si="67"/>
        <v>55500</v>
      </c>
      <c r="H194" s="89">
        <f t="shared" si="67"/>
        <v>31388</v>
      </c>
      <c r="I194" s="89">
        <f t="shared" si="67"/>
        <v>71727</v>
      </c>
      <c r="J194" s="89">
        <f t="shared" si="67"/>
        <v>54000</v>
      </c>
      <c r="K194" s="89">
        <f t="shared" si="67"/>
        <v>26000</v>
      </c>
      <c r="L194" s="89">
        <f t="shared" si="67"/>
        <v>54000</v>
      </c>
      <c r="M194" s="89">
        <f t="shared" si="67"/>
        <v>27000</v>
      </c>
      <c r="N194" s="89">
        <f t="shared" si="67"/>
        <v>74272</v>
      </c>
      <c r="O194" s="89">
        <f t="shared" si="67"/>
        <v>75262</v>
      </c>
      <c r="P194" s="85" t="s">
        <v>76</v>
      </c>
    </row>
    <row r="195" spans="1:28" s="56" customFormat="1" ht="76.5" customHeight="1" x14ac:dyDescent="0.3">
      <c r="A195" s="86"/>
      <c r="B195" s="138" t="s">
        <v>77</v>
      </c>
      <c r="C195" s="139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86"/>
    </row>
    <row r="196" spans="1:28" s="23" customFormat="1" ht="16.8" x14ac:dyDescent="0.3">
      <c r="A196" s="24">
        <f>A194+1</f>
        <v>156</v>
      </c>
      <c r="B196" s="93" t="s">
        <v>27</v>
      </c>
      <c r="C196" s="94"/>
      <c r="D196" s="30">
        <f>SUM(E196:O196)</f>
        <v>0</v>
      </c>
      <c r="E196" s="31">
        <v>0</v>
      </c>
      <c r="F196" s="31">
        <v>0</v>
      </c>
      <c r="G196" s="31">
        <v>0</v>
      </c>
      <c r="H196" s="40">
        <v>0</v>
      </c>
      <c r="I196" s="40">
        <v>0</v>
      </c>
      <c r="J196" s="31">
        <v>0</v>
      </c>
      <c r="K196" s="31">
        <v>0</v>
      </c>
      <c r="L196" s="31">
        <v>0</v>
      </c>
      <c r="M196" s="32">
        <v>0</v>
      </c>
      <c r="N196" s="31">
        <v>0</v>
      </c>
      <c r="O196" s="31">
        <v>0</v>
      </c>
      <c r="P196" s="24" t="s">
        <v>32</v>
      </c>
    </row>
    <row r="197" spans="1:28" s="48" customFormat="1" ht="16.8" x14ac:dyDescent="0.3">
      <c r="A197" s="24">
        <f>A196+1</f>
        <v>157</v>
      </c>
      <c r="B197" s="95" t="s">
        <v>28</v>
      </c>
      <c r="C197" s="96"/>
      <c r="D197" s="30">
        <f>SUM(E197:O197)</f>
        <v>111000</v>
      </c>
      <c r="E197" s="31">
        <v>0</v>
      </c>
      <c r="F197" s="31">
        <v>91000</v>
      </c>
      <c r="G197" s="31">
        <v>0</v>
      </c>
      <c r="H197" s="40">
        <v>0</v>
      </c>
      <c r="I197" s="40">
        <v>20000</v>
      </c>
      <c r="J197" s="31">
        <v>0</v>
      </c>
      <c r="K197" s="31">
        <v>0</v>
      </c>
      <c r="L197" s="31">
        <v>0</v>
      </c>
      <c r="M197" s="32">
        <v>0</v>
      </c>
      <c r="N197" s="31">
        <v>0</v>
      </c>
      <c r="O197" s="31">
        <v>0</v>
      </c>
      <c r="P197" s="24" t="s">
        <v>32</v>
      </c>
    </row>
    <row r="198" spans="1:28" s="23" customFormat="1" ht="16.8" x14ac:dyDescent="0.3">
      <c r="A198" s="24">
        <f>A197+1</f>
        <v>158</v>
      </c>
      <c r="B198" s="95" t="s">
        <v>29</v>
      </c>
      <c r="C198" s="96"/>
      <c r="D198" s="30">
        <f>SUM(E198:O198)</f>
        <v>684109</v>
      </c>
      <c r="E198" s="31">
        <v>143000</v>
      </c>
      <c r="F198" s="31">
        <v>91960</v>
      </c>
      <c r="G198" s="31">
        <v>55500</v>
      </c>
      <c r="H198" s="40">
        <f>93000-41612-20000</f>
        <v>31388</v>
      </c>
      <c r="I198" s="40">
        <v>51727</v>
      </c>
      <c r="J198" s="31">
        <v>54000</v>
      </c>
      <c r="K198" s="31">
        <f>54000-28000</f>
        <v>26000</v>
      </c>
      <c r="L198" s="31">
        <v>54000</v>
      </c>
      <c r="M198" s="32">
        <f>72000-45000</f>
        <v>27000</v>
      </c>
      <c r="N198" s="31">
        <v>74272</v>
      </c>
      <c r="O198" s="31">
        <v>75262</v>
      </c>
      <c r="P198" s="24" t="s">
        <v>32</v>
      </c>
    </row>
    <row r="199" spans="1:28" s="23" customFormat="1" ht="16.8" x14ac:dyDescent="0.3">
      <c r="A199" s="24">
        <f>A198+1</f>
        <v>159</v>
      </c>
      <c r="B199" s="95" t="s">
        <v>30</v>
      </c>
      <c r="C199" s="96"/>
      <c r="D199" s="30">
        <f>SUM(E199:O199)</f>
        <v>0</v>
      </c>
      <c r="E199" s="31">
        <v>0</v>
      </c>
      <c r="F199" s="31">
        <v>0</v>
      </c>
      <c r="G199" s="31">
        <v>0</v>
      </c>
      <c r="H199" s="40">
        <v>0</v>
      </c>
      <c r="I199" s="40">
        <v>0</v>
      </c>
      <c r="J199" s="31">
        <v>0</v>
      </c>
      <c r="K199" s="31">
        <v>0</v>
      </c>
      <c r="L199" s="31">
        <v>0</v>
      </c>
      <c r="M199" s="32">
        <v>0</v>
      </c>
      <c r="N199" s="31">
        <v>0</v>
      </c>
      <c r="O199" s="31">
        <v>0</v>
      </c>
      <c r="P199" s="24" t="s">
        <v>32</v>
      </c>
    </row>
    <row r="200" spans="1:28" s="23" customFormat="1" ht="37.5" customHeight="1" x14ac:dyDescent="0.3">
      <c r="A200" s="140" t="s">
        <v>78</v>
      </c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2"/>
    </row>
    <row r="201" spans="1:28" s="23" customFormat="1" ht="74.25" customHeight="1" x14ac:dyDescent="0.3">
      <c r="A201" s="24">
        <f>A199+1</f>
        <v>160</v>
      </c>
      <c r="B201" s="97" t="s">
        <v>79</v>
      </c>
      <c r="C201" s="98"/>
      <c r="D201" s="30">
        <f>SUM(E201:O201)</f>
        <v>24730763</v>
      </c>
      <c r="E201" s="30">
        <f t="shared" ref="E201:O201" si="68">SUM(E202:E205)</f>
        <v>949760</v>
      </c>
      <c r="F201" s="30">
        <f t="shared" si="68"/>
        <v>1335434</v>
      </c>
      <c r="G201" s="30">
        <f t="shared" si="68"/>
        <v>1966061</v>
      </c>
      <c r="H201" s="39">
        <f t="shared" si="68"/>
        <v>2587204</v>
      </c>
      <c r="I201" s="39">
        <f t="shared" si="68"/>
        <v>2446653</v>
      </c>
      <c r="J201" s="30">
        <f t="shared" si="68"/>
        <v>2427084</v>
      </c>
      <c r="K201" s="30">
        <f t="shared" si="68"/>
        <v>2591954</v>
      </c>
      <c r="L201" s="30">
        <f t="shared" si="68"/>
        <v>2461092</v>
      </c>
      <c r="M201" s="37">
        <f t="shared" si="68"/>
        <v>2645900</v>
      </c>
      <c r="N201" s="30">
        <f t="shared" si="68"/>
        <v>2645917</v>
      </c>
      <c r="O201" s="30">
        <f t="shared" si="68"/>
        <v>2673704</v>
      </c>
      <c r="P201" s="24" t="s">
        <v>32</v>
      </c>
    </row>
    <row r="202" spans="1:28" s="23" customFormat="1" ht="16.8" x14ac:dyDescent="0.3">
      <c r="A202" s="24">
        <f>A201+1</f>
        <v>161</v>
      </c>
      <c r="B202" s="95" t="s">
        <v>27</v>
      </c>
      <c r="C202" s="96"/>
      <c r="D202" s="30">
        <f>SUM(E202:K202)</f>
        <v>0</v>
      </c>
      <c r="E202" s="31">
        <f t="shared" ref="E202:O202" si="69">E208</f>
        <v>0</v>
      </c>
      <c r="F202" s="31">
        <f t="shared" si="69"/>
        <v>0</v>
      </c>
      <c r="G202" s="31">
        <f t="shared" si="69"/>
        <v>0</v>
      </c>
      <c r="H202" s="40">
        <f t="shared" si="69"/>
        <v>0</v>
      </c>
      <c r="I202" s="40">
        <f t="shared" si="69"/>
        <v>0</v>
      </c>
      <c r="J202" s="31">
        <f t="shared" si="69"/>
        <v>0</v>
      </c>
      <c r="K202" s="31">
        <f t="shared" si="69"/>
        <v>0</v>
      </c>
      <c r="L202" s="31">
        <f t="shared" si="69"/>
        <v>0</v>
      </c>
      <c r="M202" s="32">
        <f t="shared" si="69"/>
        <v>0</v>
      </c>
      <c r="N202" s="31">
        <f t="shared" si="69"/>
        <v>0</v>
      </c>
      <c r="O202" s="31">
        <f t="shared" si="69"/>
        <v>0</v>
      </c>
      <c r="P202" s="24" t="s">
        <v>32</v>
      </c>
    </row>
    <row r="203" spans="1:28" s="58" customFormat="1" ht="16.8" x14ac:dyDescent="0.3">
      <c r="A203" s="24">
        <f>A202+1</f>
        <v>162</v>
      </c>
      <c r="B203" s="95" t="s">
        <v>28</v>
      </c>
      <c r="C203" s="96"/>
      <c r="D203" s="30">
        <f>SUM(E203:O203)</f>
        <v>156311</v>
      </c>
      <c r="E203" s="31">
        <f t="shared" ref="E203:O203" si="70">E209</f>
        <v>0</v>
      </c>
      <c r="F203" s="31">
        <f t="shared" si="70"/>
        <v>0</v>
      </c>
      <c r="G203" s="31">
        <f t="shared" si="70"/>
        <v>0</v>
      </c>
      <c r="H203" s="40">
        <f t="shared" si="70"/>
        <v>134400</v>
      </c>
      <c r="I203" s="40">
        <f t="shared" si="70"/>
        <v>0</v>
      </c>
      <c r="J203" s="31">
        <f t="shared" si="70"/>
        <v>0</v>
      </c>
      <c r="K203" s="31">
        <f t="shared" si="70"/>
        <v>0</v>
      </c>
      <c r="L203" s="31">
        <f t="shared" si="70"/>
        <v>0</v>
      </c>
      <c r="M203" s="32">
        <f t="shared" si="70"/>
        <v>21911</v>
      </c>
      <c r="N203" s="31">
        <f t="shared" si="70"/>
        <v>0</v>
      </c>
      <c r="O203" s="31">
        <f t="shared" si="70"/>
        <v>0</v>
      </c>
      <c r="P203" s="24" t="s">
        <v>32</v>
      </c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</row>
    <row r="204" spans="1:28" s="23" customFormat="1" ht="16.8" x14ac:dyDescent="0.3">
      <c r="A204" s="24">
        <f>A203+1</f>
        <v>163</v>
      </c>
      <c r="B204" s="95" t="s">
        <v>29</v>
      </c>
      <c r="C204" s="96"/>
      <c r="D204" s="30">
        <f>SUM(E204:O204)</f>
        <v>24574452</v>
      </c>
      <c r="E204" s="31">
        <f t="shared" ref="E204:O204" si="71">E210</f>
        <v>949760</v>
      </c>
      <c r="F204" s="31">
        <f t="shared" si="71"/>
        <v>1335434</v>
      </c>
      <c r="G204" s="31">
        <f t="shared" si="71"/>
        <v>1966061</v>
      </c>
      <c r="H204" s="40">
        <f t="shared" si="71"/>
        <v>2452804</v>
      </c>
      <c r="I204" s="40">
        <f t="shared" si="71"/>
        <v>2446653</v>
      </c>
      <c r="J204" s="31">
        <f t="shared" si="71"/>
        <v>2427084</v>
      </c>
      <c r="K204" s="31">
        <f t="shared" si="71"/>
        <v>2591954</v>
      </c>
      <c r="L204" s="31">
        <f t="shared" si="71"/>
        <v>2461092</v>
      </c>
      <c r="M204" s="32">
        <f t="shared" si="71"/>
        <v>2623989</v>
      </c>
      <c r="N204" s="31">
        <f t="shared" si="71"/>
        <v>2645917</v>
      </c>
      <c r="O204" s="31">
        <f t="shared" si="71"/>
        <v>2673704</v>
      </c>
      <c r="P204" s="24" t="s">
        <v>32</v>
      </c>
    </row>
    <row r="205" spans="1:28" s="23" customFormat="1" ht="16.8" x14ac:dyDescent="0.3">
      <c r="A205" s="24">
        <f>A204+1</f>
        <v>164</v>
      </c>
      <c r="B205" s="95" t="s">
        <v>30</v>
      </c>
      <c r="C205" s="96"/>
      <c r="D205" s="30">
        <f>SUM(E205:K205)</f>
        <v>0</v>
      </c>
      <c r="E205" s="31">
        <f t="shared" ref="E205:K205" si="72">E211</f>
        <v>0</v>
      </c>
      <c r="F205" s="31">
        <f t="shared" si="72"/>
        <v>0</v>
      </c>
      <c r="G205" s="31">
        <f t="shared" si="72"/>
        <v>0</v>
      </c>
      <c r="H205" s="40">
        <f t="shared" si="72"/>
        <v>0</v>
      </c>
      <c r="I205" s="40">
        <f t="shared" si="72"/>
        <v>0</v>
      </c>
      <c r="J205" s="31">
        <f t="shared" si="72"/>
        <v>0</v>
      </c>
      <c r="K205" s="31">
        <f t="shared" si="72"/>
        <v>0</v>
      </c>
      <c r="L205" s="31">
        <v>0</v>
      </c>
      <c r="M205" s="32">
        <v>0</v>
      </c>
      <c r="N205" s="31">
        <v>0</v>
      </c>
      <c r="O205" s="31">
        <v>0</v>
      </c>
      <c r="P205" s="24" t="s">
        <v>32</v>
      </c>
    </row>
    <row r="206" spans="1:28" s="23" customFormat="1" ht="20.25" customHeight="1" x14ac:dyDescent="0.3">
      <c r="A206" s="97" t="s">
        <v>31</v>
      </c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98"/>
    </row>
    <row r="207" spans="1:28" s="23" customFormat="1" ht="16.8" x14ac:dyDescent="0.3">
      <c r="A207" s="24">
        <f>A205+1</f>
        <v>165</v>
      </c>
      <c r="B207" s="97" t="s">
        <v>31</v>
      </c>
      <c r="C207" s="98"/>
      <c r="D207" s="30">
        <f>SUM(E207:O207)</f>
        <v>24730763</v>
      </c>
      <c r="E207" s="30">
        <f t="shared" ref="E207:O207" si="73">SUM(E208:E211)</f>
        <v>949760</v>
      </c>
      <c r="F207" s="30">
        <f t="shared" si="73"/>
        <v>1335434</v>
      </c>
      <c r="G207" s="30">
        <f t="shared" si="73"/>
        <v>1966061</v>
      </c>
      <c r="H207" s="39">
        <f t="shared" si="73"/>
        <v>2587204</v>
      </c>
      <c r="I207" s="39">
        <f t="shared" si="73"/>
        <v>2446653</v>
      </c>
      <c r="J207" s="30">
        <f t="shared" si="73"/>
        <v>2427084</v>
      </c>
      <c r="K207" s="30">
        <f t="shared" si="73"/>
        <v>2591954</v>
      </c>
      <c r="L207" s="30">
        <f t="shared" si="73"/>
        <v>2461092</v>
      </c>
      <c r="M207" s="37">
        <f t="shared" si="73"/>
        <v>2645900</v>
      </c>
      <c r="N207" s="30">
        <f t="shared" si="73"/>
        <v>2645917</v>
      </c>
      <c r="O207" s="30">
        <f t="shared" si="73"/>
        <v>2673704</v>
      </c>
      <c r="P207" s="24" t="s">
        <v>32</v>
      </c>
    </row>
    <row r="208" spans="1:28" s="23" customFormat="1" ht="16.8" x14ac:dyDescent="0.3">
      <c r="A208" s="24">
        <f>A207+1</f>
        <v>166</v>
      </c>
      <c r="B208" s="95" t="s">
        <v>27</v>
      </c>
      <c r="C208" s="96"/>
      <c r="D208" s="30">
        <f>SUM(E208:K208)</f>
        <v>0</v>
      </c>
      <c r="E208" s="31">
        <f t="shared" ref="E208:K208" si="74">E214+E220</f>
        <v>0</v>
      </c>
      <c r="F208" s="31">
        <f t="shared" si="74"/>
        <v>0</v>
      </c>
      <c r="G208" s="31">
        <f t="shared" si="74"/>
        <v>0</v>
      </c>
      <c r="H208" s="40">
        <f t="shared" si="74"/>
        <v>0</v>
      </c>
      <c r="I208" s="40">
        <f t="shared" si="74"/>
        <v>0</v>
      </c>
      <c r="J208" s="31">
        <f t="shared" si="74"/>
        <v>0</v>
      </c>
      <c r="K208" s="31">
        <f t="shared" si="74"/>
        <v>0</v>
      </c>
      <c r="L208" s="31">
        <v>0</v>
      </c>
      <c r="M208" s="32">
        <v>0</v>
      </c>
      <c r="N208" s="31">
        <v>0</v>
      </c>
      <c r="O208" s="31">
        <v>0</v>
      </c>
      <c r="P208" s="24" t="s">
        <v>32</v>
      </c>
    </row>
    <row r="209" spans="1:28" s="58" customFormat="1" ht="16.8" x14ac:dyDescent="0.3">
      <c r="A209" s="24">
        <f>A208+1</f>
        <v>167</v>
      </c>
      <c r="B209" s="95" t="s">
        <v>28</v>
      </c>
      <c r="C209" s="96"/>
      <c r="D209" s="30">
        <f>SUM(E209:O209)</f>
        <v>156311</v>
      </c>
      <c r="E209" s="31">
        <f t="shared" ref="E209:G211" si="75">E215+E221</f>
        <v>0</v>
      </c>
      <c r="F209" s="31">
        <f t="shared" si="75"/>
        <v>0</v>
      </c>
      <c r="G209" s="31">
        <f t="shared" si="75"/>
        <v>0</v>
      </c>
      <c r="H209" s="40">
        <f>H215+H221+H233</f>
        <v>134400</v>
      </c>
      <c r="I209" s="40">
        <f>I215+I221</f>
        <v>0</v>
      </c>
      <c r="J209" s="31">
        <f>J215+J221</f>
        <v>0</v>
      </c>
      <c r="K209" s="31">
        <f>K215+K221</f>
        <v>0</v>
      </c>
      <c r="L209" s="31">
        <v>0</v>
      </c>
      <c r="M209" s="32">
        <f>M215+M221+M227+M233</f>
        <v>21911</v>
      </c>
      <c r="N209" s="31">
        <v>0</v>
      </c>
      <c r="O209" s="31">
        <v>0</v>
      </c>
      <c r="P209" s="24" t="s">
        <v>32</v>
      </c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</row>
    <row r="210" spans="1:28" s="23" customFormat="1" ht="16.8" x14ac:dyDescent="0.3">
      <c r="A210" s="24">
        <f>A209+1</f>
        <v>168</v>
      </c>
      <c r="B210" s="95" t="s">
        <v>29</v>
      </c>
      <c r="C210" s="96"/>
      <c r="D210" s="30">
        <f>SUM(E210:O210)</f>
        <v>24574452</v>
      </c>
      <c r="E210" s="31">
        <f t="shared" si="75"/>
        <v>949760</v>
      </c>
      <c r="F210" s="31">
        <f t="shared" si="75"/>
        <v>1335434</v>
      </c>
      <c r="G210" s="31">
        <f t="shared" si="75"/>
        <v>1966061</v>
      </c>
      <c r="H210" s="40">
        <f>H216+H222+H228+H234</f>
        <v>2452804</v>
      </c>
      <c r="I210" s="40">
        <f>I216+I222+I228+I234</f>
        <v>2446653</v>
      </c>
      <c r="J210" s="31">
        <f>J216+J222+J228+J237+J234</f>
        <v>2427084</v>
      </c>
      <c r="K210" s="31">
        <f>K216+K222+K228+K236+K234</f>
        <v>2591954</v>
      </c>
      <c r="L210" s="31">
        <f>L216+L222+L228+L236+L234</f>
        <v>2461092</v>
      </c>
      <c r="M210" s="32">
        <f>M216+M222+M228+M236+M234</f>
        <v>2623989</v>
      </c>
      <c r="N210" s="31">
        <f>N216+N222+N228+N236+N234</f>
        <v>2645917</v>
      </c>
      <c r="O210" s="31">
        <f>O216+O222+O228+O236+O234</f>
        <v>2673704</v>
      </c>
      <c r="P210" s="24" t="s">
        <v>32</v>
      </c>
    </row>
    <row r="211" spans="1:28" s="23" customFormat="1" ht="16.8" x14ac:dyDescent="0.3">
      <c r="A211" s="24">
        <f>A210+1</f>
        <v>169</v>
      </c>
      <c r="B211" s="91" t="s">
        <v>30</v>
      </c>
      <c r="C211" s="92"/>
      <c r="D211" s="30">
        <f>SUM(E211:K211)</f>
        <v>0</v>
      </c>
      <c r="E211" s="31">
        <f t="shared" si="75"/>
        <v>0</v>
      </c>
      <c r="F211" s="31">
        <f t="shared" si="75"/>
        <v>0</v>
      </c>
      <c r="G211" s="31">
        <f t="shared" si="75"/>
        <v>0</v>
      </c>
      <c r="H211" s="40">
        <f>H217+H223</f>
        <v>0</v>
      </c>
      <c r="I211" s="40">
        <f>I217+I223</f>
        <v>0</v>
      </c>
      <c r="J211" s="31">
        <f>J217+J223</f>
        <v>0</v>
      </c>
      <c r="K211" s="31">
        <f>K217+K223</f>
        <v>0</v>
      </c>
      <c r="L211" s="31">
        <v>0</v>
      </c>
      <c r="M211" s="32">
        <v>0</v>
      </c>
      <c r="N211" s="31">
        <v>0</v>
      </c>
      <c r="O211" s="31">
        <v>0</v>
      </c>
      <c r="P211" s="24" t="s">
        <v>32</v>
      </c>
    </row>
    <row r="212" spans="1:28" s="23" customFormat="1" ht="16.8" x14ac:dyDescent="0.3">
      <c r="A212" s="81">
        <f>A211+1</f>
        <v>170</v>
      </c>
      <c r="B212" s="99" t="s">
        <v>52</v>
      </c>
      <c r="C212" s="100"/>
      <c r="D212" s="103">
        <f>SUM(E212:O213)</f>
        <v>14304928.279999999</v>
      </c>
      <c r="E212" s="103">
        <f t="shared" ref="E212:O212" si="76">SUM(E214:E217)</f>
        <v>949760</v>
      </c>
      <c r="F212" s="103">
        <f t="shared" si="76"/>
        <v>1228000</v>
      </c>
      <c r="G212" s="103">
        <f t="shared" si="76"/>
        <v>1205690</v>
      </c>
      <c r="H212" s="106">
        <f t="shared" si="76"/>
        <v>1131520</v>
      </c>
      <c r="I212" s="106">
        <f t="shared" si="76"/>
        <v>1184895</v>
      </c>
      <c r="J212" s="103">
        <f t="shared" si="76"/>
        <v>1333498.8799999999</v>
      </c>
      <c r="K212" s="103">
        <f t="shared" si="76"/>
        <v>1458580.2</v>
      </c>
      <c r="L212" s="103">
        <f t="shared" si="76"/>
        <v>1392670.2</v>
      </c>
      <c r="M212" s="89">
        <f t="shared" si="76"/>
        <v>1492332</v>
      </c>
      <c r="N212" s="103">
        <f t="shared" si="76"/>
        <v>1456653</v>
      </c>
      <c r="O212" s="103">
        <f t="shared" si="76"/>
        <v>1471329</v>
      </c>
      <c r="P212" s="81" t="s">
        <v>80</v>
      </c>
    </row>
    <row r="213" spans="1:28" s="23" customFormat="1" ht="69.75" customHeight="1" x14ac:dyDescent="0.3">
      <c r="A213" s="82"/>
      <c r="B213" s="101" t="s">
        <v>81</v>
      </c>
      <c r="C213" s="102"/>
      <c r="D213" s="104"/>
      <c r="E213" s="104"/>
      <c r="F213" s="104"/>
      <c r="G213" s="104"/>
      <c r="H213" s="107"/>
      <c r="I213" s="107"/>
      <c r="J213" s="104"/>
      <c r="K213" s="104"/>
      <c r="L213" s="104"/>
      <c r="M213" s="90"/>
      <c r="N213" s="104"/>
      <c r="O213" s="104"/>
      <c r="P213" s="82"/>
    </row>
    <row r="214" spans="1:28" s="23" customFormat="1" ht="16.8" x14ac:dyDescent="0.3">
      <c r="A214" s="24">
        <f>A212+1</f>
        <v>171</v>
      </c>
      <c r="B214" s="95" t="s">
        <v>27</v>
      </c>
      <c r="C214" s="96"/>
      <c r="D214" s="30">
        <f>SUM(E214:K214)</f>
        <v>0</v>
      </c>
      <c r="E214" s="31">
        <v>0</v>
      </c>
      <c r="F214" s="31">
        <v>0</v>
      </c>
      <c r="G214" s="31">
        <v>0</v>
      </c>
      <c r="H214" s="40">
        <v>0</v>
      </c>
      <c r="I214" s="40">
        <v>0</v>
      </c>
      <c r="J214" s="31">
        <v>0</v>
      </c>
      <c r="K214" s="31">
        <v>0</v>
      </c>
      <c r="L214" s="31">
        <v>0</v>
      </c>
      <c r="M214" s="32">
        <v>0</v>
      </c>
      <c r="N214" s="31">
        <v>0</v>
      </c>
      <c r="O214" s="31">
        <v>0</v>
      </c>
      <c r="P214" s="24" t="s">
        <v>25</v>
      </c>
    </row>
    <row r="215" spans="1:28" s="23" customFormat="1" ht="16.8" x14ac:dyDescent="0.3">
      <c r="A215" s="24">
        <f>A214+1</f>
        <v>172</v>
      </c>
      <c r="B215" s="95" t="s">
        <v>28</v>
      </c>
      <c r="C215" s="96"/>
      <c r="D215" s="30">
        <f>SUM(E215:K215)</f>
        <v>0</v>
      </c>
      <c r="E215" s="31">
        <v>0</v>
      </c>
      <c r="F215" s="31">
        <v>0</v>
      </c>
      <c r="G215" s="31">
        <v>0</v>
      </c>
      <c r="H215" s="40">
        <v>0</v>
      </c>
      <c r="I215" s="40">
        <v>0</v>
      </c>
      <c r="J215" s="31">
        <v>0</v>
      </c>
      <c r="K215" s="31">
        <v>0</v>
      </c>
      <c r="L215" s="31">
        <v>0</v>
      </c>
      <c r="M215" s="32">
        <f>14761+4458</f>
        <v>19219</v>
      </c>
      <c r="N215" s="31">
        <v>0</v>
      </c>
      <c r="O215" s="31">
        <v>0</v>
      </c>
      <c r="P215" s="24" t="s">
        <v>25</v>
      </c>
    </row>
    <row r="216" spans="1:28" s="23" customFormat="1" ht="16.8" x14ac:dyDescent="0.3">
      <c r="A216" s="24">
        <f>A215+1</f>
        <v>173</v>
      </c>
      <c r="B216" s="95" t="s">
        <v>29</v>
      </c>
      <c r="C216" s="96"/>
      <c r="D216" s="30">
        <f>SUM(E216:O216)</f>
        <v>14285709.279999999</v>
      </c>
      <c r="E216" s="31">
        <v>949760</v>
      </c>
      <c r="F216" s="31">
        <v>1228000</v>
      </c>
      <c r="G216" s="31">
        <v>1205690</v>
      </c>
      <c r="H216" s="40">
        <f>1488792-405700+48428</f>
        <v>1131520</v>
      </c>
      <c r="I216" s="40">
        <v>1184895</v>
      </c>
      <c r="J216" s="31">
        <v>1333498.8799999999</v>
      </c>
      <c r="K216" s="31">
        <f>10000+42500+4190+1650+6996+306033+690+25000+987663+45000-2013+22987-25000+24961-14039.2-6895.8+28858.2</f>
        <v>1458580.2</v>
      </c>
      <c r="L216" s="31">
        <v>1392670.2</v>
      </c>
      <c r="M216" s="32">
        <f>1441558+3578+1081+26896</f>
        <v>1473113</v>
      </c>
      <c r="N216" s="31">
        <v>1456653</v>
      </c>
      <c r="O216" s="31">
        <v>1471329</v>
      </c>
      <c r="P216" s="24" t="s">
        <v>25</v>
      </c>
    </row>
    <row r="217" spans="1:28" s="23" customFormat="1" ht="16.8" x14ac:dyDescent="0.3">
      <c r="A217" s="24">
        <f>A216+1</f>
        <v>174</v>
      </c>
      <c r="B217" s="91" t="s">
        <v>30</v>
      </c>
      <c r="C217" s="92"/>
      <c r="D217" s="30">
        <f>SUM(E217:K217)</f>
        <v>0</v>
      </c>
      <c r="E217" s="45">
        <v>0</v>
      </c>
      <c r="F217" s="45">
        <v>0</v>
      </c>
      <c r="G217" s="45">
        <v>0</v>
      </c>
      <c r="H217" s="46">
        <v>0</v>
      </c>
      <c r="I217" s="46">
        <v>0</v>
      </c>
      <c r="J217" s="45">
        <v>0</v>
      </c>
      <c r="K217" s="45">
        <v>0</v>
      </c>
      <c r="L217" s="45">
        <v>0</v>
      </c>
      <c r="M217" s="47">
        <v>0</v>
      </c>
      <c r="N217" s="45">
        <v>0</v>
      </c>
      <c r="O217" s="45">
        <v>0</v>
      </c>
      <c r="P217" s="24" t="s">
        <v>25</v>
      </c>
    </row>
    <row r="218" spans="1:28" s="23" customFormat="1" ht="16.8" x14ac:dyDescent="0.3">
      <c r="A218" s="81">
        <f>A217+1</f>
        <v>175</v>
      </c>
      <c r="B218" s="99" t="s">
        <v>40</v>
      </c>
      <c r="C218" s="100"/>
      <c r="D218" s="103">
        <f>SUM(E218:O219)</f>
        <v>8347751</v>
      </c>
      <c r="E218" s="103">
        <f t="shared" ref="E218:O218" si="77">SUM(E220:E223)</f>
        <v>0</v>
      </c>
      <c r="F218" s="103">
        <f t="shared" si="77"/>
        <v>107434</v>
      </c>
      <c r="G218" s="103">
        <f t="shared" si="77"/>
        <v>760371</v>
      </c>
      <c r="H218" s="106">
        <f t="shared" si="77"/>
        <v>837984</v>
      </c>
      <c r="I218" s="106">
        <f t="shared" si="77"/>
        <v>865458</v>
      </c>
      <c r="J218" s="103">
        <f t="shared" si="77"/>
        <v>883394</v>
      </c>
      <c r="K218" s="103">
        <f t="shared" si="77"/>
        <v>1011991</v>
      </c>
      <c r="L218" s="103">
        <f t="shared" si="77"/>
        <v>944916</v>
      </c>
      <c r="M218" s="89">
        <f t="shared" si="77"/>
        <v>970320</v>
      </c>
      <c r="N218" s="103">
        <f t="shared" si="77"/>
        <v>977796</v>
      </c>
      <c r="O218" s="103">
        <f t="shared" si="77"/>
        <v>988087</v>
      </c>
      <c r="P218" s="81" t="s">
        <v>82</v>
      </c>
    </row>
    <row r="219" spans="1:28" s="23" customFormat="1" ht="54.75" customHeight="1" x14ac:dyDescent="0.3">
      <c r="A219" s="82"/>
      <c r="B219" s="101" t="s">
        <v>83</v>
      </c>
      <c r="C219" s="102"/>
      <c r="D219" s="104"/>
      <c r="E219" s="104"/>
      <c r="F219" s="104"/>
      <c r="G219" s="104"/>
      <c r="H219" s="107"/>
      <c r="I219" s="107"/>
      <c r="J219" s="104"/>
      <c r="K219" s="104"/>
      <c r="L219" s="104"/>
      <c r="M219" s="90"/>
      <c r="N219" s="104"/>
      <c r="O219" s="104"/>
      <c r="P219" s="82"/>
    </row>
    <row r="220" spans="1:28" s="23" customFormat="1" ht="16.8" x14ac:dyDescent="0.3">
      <c r="A220" s="24">
        <f>A218+1</f>
        <v>176</v>
      </c>
      <c r="B220" s="95" t="s">
        <v>27</v>
      </c>
      <c r="C220" s="96"/>
      <c r="D220" s="30">
        <f>SUM(E220:O220)</f>
        <v>0</v>
      </c>
      <c r="E220" s="31">
        <v>0</v>
      </c>
      <c r="F220" s="31">
        <v>0</v>
      </c>
      <c r="G220" s="31">
        <v>0</v>
      </c>
      <c r="H220" s="40">
        <v>0</v>
      </c>
      <c r="I220" s="40">
        <v>0</v>
      </c>
      <c r="J220" s="31">
        <v>0</v>
      </c>
      <c r="K220" s="31">
        <v>0</v>
      </c>
      <c r="L220" s="31">
        <v>0</v>
      </c>
      <c r="M220" s="32">
        <v>0</v>
      </c>
      <c r="N220" s="31">
        <v>0</v>
      </c>
      <c r="O220" s="31">
        <v>0</v>
      </c>
      <c r="P220" s="24" t="s">
        <v>25</v>
      </c>
    </row>
    <row r="221" spans="1:28" s="23" customFormat="1" ht="16.8" x14ac:dyDescent="0.3">
      <c r="A221" s="24">
        <f>A220+1</f>
        <v>177</v>
      </c>
      <c r="B221" s="95" t="s">
        <v>28</v>
      </c>
      <c r="C221" s="96"/>
      <c r="D221" s="30">
        <f>SUM(E221:K221)</f>
        <v>0</v>
      </c>
      <c r="E221" s="31">
        <v>0</v>
      </c>
      <c r="F221" s="31">
        <v>0</v>
      </c>
      <c r="G221" s="31">
        <v>0</v>
      </c>
      <c r="H221" s="40">
        <v>0</v>
      </c>
      <c r="I221" s="40">
        <v>0</v>
      </c>
      <c r="J221" s="31">
        <v>0</v>
      </c>
      <c r="K221" s="31">
        <v>0</v>
      </c>
      <c r="L221" s="31">
        <v>0</v>
      </c>
      <c r="M221" s="32">
        <f>2068+624</f>
        <v>2692</v>
      </c>
      <c r="N221" s="31">
        <v>0</v>
      </c>
      <c r="O221" s="31">
        <v>0</v>
      </c>
      <c r="P221" s="24" t="s">
        <v>25</v>
      </c>
    </row>
    <row r="222" spans="1:28" s="23" customFormat="1" ht="16.8" x14ac:dyDescent="0.3">
      <c r="A222" s="24">
        <f>A221+1</f>
        <v>178</v>
      </c>
      <c r="B222" s="95" t="s">
        <v>29</v>
      </c>
      <c r="C222" s="96"/>
      <c r="D222" s="30">
        <f>SUM(E222:O222)</f>
        <v>8345059</v>
      </c>
      <c r="E222" s="31">
        <v>0</v>
      </c>
      <c r="F222" s="31">
        <v>107434</v>
      </c>
      <c r="G222" s="31">
        <v>760371</v>
      </c>
      <c r="H222" s="40">
        <v>837984</v>
      </c>
      <c r="I222" s="40">
        <v>865458</v>
      </c>
      <c r="J222" s="31">
        <v>883394</v>
      </c>
      <c r="K222" s="31">
        <v>1011991</v>
      </c>
      <c r="L222" s="31">
        <v>944916</v>
      </c>
      <c r="M222" s="32">
        <f>964935+2068+625</f>
        <v>967628</v>
      </c>
      <c r="N222" s="31">
        <v>977796</v>
      </c>
      <c r="O222" s="31">
        <v>988087</v>
      </c>
      <c r="P222" s="24" t="s">
        <v>25</v>
      </c>
    </row>
    <row r="223" spans="1:28" s="23" customFormat="1" ht="16.8" x14ac:dyDescent="0.3">
      <c r="A223" s="24">
        <f>A222+1</f>
        <v>179</v>
      </c>
      <c r="B223" s="91" t="s">
        <v>30</v>
      </c>
      <c r="C223" s="92"/>
      <c r="D223" s="30">
        <f>SUM(E223:O223)</f>
        <v>0</v>
      </c>
      <c r="E223" s="31">
        <v>0</v>
      </c>
      <c r="F223" s="31">
        <v>0</v>
      </c>
      <c r="G223" s="31">
        <v>0</v>
      </c>
      <c r="H223" s="40">
        <v>0</v>
      </c>
      <c r="I223" s="40">
        <v>0</v>
      </c>
      <c r="J223" s="31">
        <v>0</v>
      </c>
      <c r="K223" s="31">
        <v>0</v>
      </c>
      <c r="L223" s="31">
        <v>0</v>
      </c>
      <c r="M223" s="32">
        <v>0</v>
      </c>
      <c r="N223" s="31">
        <v>0</v>
      </c>
      <c r="O223" s="31">
        <v>0</v>
      </c>
      <c r="P223" s="24" t="s">
        <v>25</v>
      </c>
    </row>
    <row r="224" spans="1:28" s="23" customFormat="1" ht="16.8" x14ac:dyDescent="0.3">
      <c r="A224" s="81">
        <f>A223+1</f>
        <v>180</v>
      </c>
      <c r="B224" s="99" t="s">
        <v>42</v>
      </c>
      <c r="C224" s="100"/>
      <c r="D224" s="103">
        <f>SUM(E224:O225)</f>
        <v>1870698.72</v>
      </c>
      <c r="E224" s="103">
        <f t="shared" ref="E224:O224" si="78">SUM(E226:E229)</f>
        <v>0</v>
      </c>
      <c r="F224" s="103">
        <f t="shared" si="78"/>
        <v>0</v>
      </c>
      <c r="G224" s="103">
        <f t="shared" si="78"/>
        <v>0</v>
      </c>
      <c r="H224" s="106">
        <f t="shared" si="78"/>
        <v>425700</v>
      </c>
      <c r="I224" s="106">
        <f t="shared" si="78"/>
        <v>396300</v>
      </c>
      <c r="J224" s="103">
        <f t="shared" si="78"/>
        <v>205191.12</v>
      </c>
      <c r="K224" s="103">
        <f t="shared" si="78"/>
        <v>121382.8</v>
      </c>
      <c r="L224" s="103">
        <f t="shared" si="78"/>
        <v>123505.8</v>
      </c>
      <c r="M224" s="89">
        <f t="shared" si="78"/>
        <v>183248</v>
      </c>
      <c r="N224" s="103">
        <f t="shared" si="78"/>
        <v>206310</v>
      </c>
      <c r="O224" s="103">
        <f t="shared" si="78"/>
        <v>209061</v>
      </c>
      <c r="P224" s="81">
        <v>37.380000000000003</v>
      </c>
    </row>
    <row r="225" spans="1:28" s="23" customFormat="1" ht="51" customHeight="1" x14ac:dyDescent="0.3">
      <c r="A225" s="82"/>
      <c r="B225" s="101" t="s">
        <v>84</v>
      </c>
      <c r="C225" s="102"/>
      <c r="D225" s="104"/>
      <c r="E225" s="104"/>
      <c r="F225" s="104"/>
      <c r="G225" s="104"/>
      <c r="H225" s="107"/>
      <c r="I225" s="107"/>
      <c r="J225" s="104"/>
      <c r="K225" s="104"/>
      <c r="L225" s="104"/>
      <c r="M225" s="90"/>
      <c r="N225" s="104"/>
      <c r="O225" s="104"/>
      <c r="P225" s="82"/>
    </row>
    <row r="226" spans="1:28" s="23" customFormat="1" ht="16.8" x14ac:dyDescent="0.3">
      <c r="A226" s="24">
        <f>A224+1</f>
        <v>181</v>
      </c>
      <c r="B226" s="95" t="s">
        <v>27</v>
      </c>
      <c r="C226" s="96"/>
      <c r="D226" s="30">
        <f>SUM(E226:K226)</f>
        <v>0</v>
      </c>
      <c r="E226" s="31">
        <v>0</v>
      </c>
      <c r="F226" s="31">
        <v>0</v>
      </c>
      <c r="G226" s="31">
        <v>0</v>
      </c>
      <c r="H226" s="40">
        <v>0</v>
      </c>
      <c r="I226" s="40">
        <v>0</v>
      </c>
      <c r="J226" s="31">
        <v>0</v>
      </c>
      <c r="K226" s="31">
        <v>0</v>
      </c>
      <c r="L226" s="31">
        <v>0</v>
      </c>
      <c r="M226" s="32">
        <v>0</v>
      </c>
      <c r="N226" s="31">
        <v>0</v>
      </c>
      <c r="O226" s="31">
        <v>0</v>
      </c>
      <c r="P226" s="24" t="s">
        <v>25</v>
      </c>
    </row>
    <row r="227" spans="1:28" s="23" customFormat="1" ht="16.8" x14ac:dyDescent="0.3">
      <c r="A227" s="24">
        <f>A226+1</f>
        <v>182</v>
      </c>
      <c r="B227" s="95" t="s">
        <v>28</v>
      </c>
      <c r="C227" s="96"/>
      <c r="D227" s="30">
        <f>SUM(E227:K227)</f>
        <v>0</v>
      </c>
      <c r="E227" s="31">
        <v>0</v>
      </c>
      <c r="F227" s="31">
        <v>0</v>
      </c>
      <c r="G227" s="31">
        <v>0</v>
      </c>
      <c r="H227" s="40">
        <v>0</v>
      </c>
      <c r="I227" s="40">
        <v>0</v>
      </c>
      <c r="J227" s="31">
        <v>0</v>
      </c>
      <c r="K227" s="31">
        <v>0</v>
      </c>
      <c r="L227" s="31">
        <v>0</v>
      </c>
      <c r="M227" s="32">
        <v>0</v>
      </c>
      <c r="N227" s="31">
        <v>0</v>
      </c>
      <c r="O227" s="31">
        <v>0</v>
      </c>
      <c r="P227" s="24" t="s">
        <v>25</v>
      </c>
    </row>
    <row r="228" spans="1:28" s="23" customFormat="1" ht="16.8" x14ac:dyDescent="0.3">
      <c r="A228" s="24">
        <f>A227+1</f>
        <v>183</v>
      </c>
      <c r="B228" s="95" t="s">
        <v>29</v>
      </c>
      <c r="C228" s="96"/>
      <c r="D228" s="30">
        <f>SUM(E228:O228)</f>
        <v>1870698.72</v>
      </c>
      <c r="E228" s="31">
        <v>0</v>
      </c>
      <c r="F228" s="31">
        <v>0</v>
      </c>
      <c r="G228" s="31">
        <v>0</v>
      </c>
      <c r="H228" s="40">
        <v>425700</v>
      </c>
      <c r="I228" s="40">
        <v>396300</v>
      </c>
      <c r="J228" s="31">
        <v>205191.12</v>
      </c>
      <c r="K228" s="31">
        <f>125241+180000-155000-28858.2</f>
        <v>121382.8</v>
      </c>
      <c r="L228" s="31">
        <v>123505.8</v>
      </c>
      <c r="M228" s="32">
        <f>200000+600-7352-10000</f>
        <v>183248</v>
      </c>
      <c r="N228" s="31">
        <v>206310</v>
      </c>
      <c r="O228" s="31">
        <v>209061</v>
      </c>
      <c r="P228" s="24" t="s">
        <v>25</v>
      </c>
    </row>
    <row r="229" spans="1:28" s="23" customFormat="1" ht="16.8" x14ac:dyDescent="0.3">
      <c r="A229" s="24">
        <f>A228+1</f>
        <v>184</v>
      </c>
      <c r="B229" s="91" t="s">
        <v>30</v>
      </c>
      <c r="C229" s="92"/>
      <c r="D229" s="30">
        <f>SUM(E229:K229)</f>
        <v>0</v>
      </c>
      <c r="E229" s="31">
        <v>0</v>
      </c>
      <c r="F229" s="31">
        <v>0</v>
      </c>
      <c r="G229" s="31">
        <v>0</v>
      </c>
      <c r="H229" s="40">
        <v>0</v>
      </c>
      <c r="I229" s="40">
        <v>0</v>
      </c>
      <c r="J229" s="31">
        <v>0</v>
      </c>
      <c r="K229" s="31">
        <v>0</v>
      </c>
      <c r="L229" s="31">
        <v>0</v>
      </c>
      <c r="M229" s="32">
        <v>0</v>
      </c>
      <c r="N229" s="31">
        <v>0</v>
      </c>
      <c r="O229" s="31">
        <v>0</v>
      </c>
      <c r="P229" s="24" t="s">
        <v>25</v>
      </c>
    </row>
    <row r="230" spans="1:28" s="23" customFormat="1" ht="15.75" customHeight="1" x14ac:dyDescent="0.3">
      <c r="A230" s="81">
        <f>A229+1</f>
        <v>185</v>
      </c>
      <c r="B230" s="42" t="s">
        <v>85</v>
      </c>
      <c r="C230" s="103">
        <f>SUM(E230:O231)</f>
        <v>192000</v>
      </c>
      <c r="D230" s="109"/>
      <c r="E230" s="103">
        <f t="shared" ref="E230:K230" si="79">SUM(E232:E235)</f>
        <v>0</v>
      </c>
      <c r="F230" s="103">
        <f t="shared" si="79"/>
        <v>0</v>
      </c>
      <c r="G230" s="103">
        <f t="shared" si="79"/>
        <v>0</v>
      </c>
      <c r="H230" s="106">
        <f t="shared" si="79"/>
        <v>192000</v>
      </c>
      <c r="I230" s="106">
        <f t="shared" si="79"/>
        <v>0</v>
      </c>
      <c r="J230" s="103">
        <f t="shared" si="79"/>
        <v>0</v>
      </c>
      <c r="K230" s="103">
        <f t="shared" si="79"/>
        <v>0</v>
      </c>
      <c r="L230" s="113">
        <v>0</v>
      </c>
      <c r="M230" s="115">
        <v>0</v>
      </c>
      <c r="N230" s="113">
        <v>0</v>
      </c>
      <c r="O230" s="113">
        <v>0</v>
      </c>
      <c r="P230" s="81" t="s">
        <v>25</v>
      </c>
    </row>
    <row r="231" spans="1:28" s="23" customFormat="1" ht="99" customHeight="1" x14ac:dyDescent="0.3">
      <c r="A231" s="82"/>
      <c r="B231" s="43" t="s">
        <v>43</v>
      </c>
      <c r="C231" s="131"/>
      <c r="D231" s="111"/>
      <c r="E231" s="104"/>
      <c r="F231" s="104"/>
      <c r="G231" s="104"/>
      <c r="H231" s="107"/>
      <c r="I231" s="107"/>
      <c r="J231" s="104"/>
      <c r="K231" s="104"/>
      <c r="L231" s="114"/>
      <c r="M231" s="116"/>
      <c r="N231" s="114"/>
      <c r="O231" s="114"/>
      <c r="P231" s="82"/>
    </row>
    <row r="232" spans="1:28" s="23" customFormat="1" ht="23.25" customHeight="1" x14ac:dyDescent="0.3">
      <c r="A232" s="24">
        <f>A230+1</f>
        <v>186</v>
      </c>
      <c r="B232" s="95" t="s">
        <v>27</v>
      </c>
      <c r="C232" s="96"/>
      <c r="D232" s="30">
        <f>SUM(E232:K232)</f>
        <v>0</v>
      </c>
      <c r="E232" s="31">
        <v>0</v>
      </c>
      <c r="F232" s="31">
        <v>0</v>
      </c>
      <c r="G232" s="31">
        <v>0</v>
      </c>
      <c r="H232" s="40">
        <v>0</v>
      </c>
      <c r="I232" s="40">
        <v>0</v>
      </c>
      <c r="J232" s="31">
        <v>0</v>
      </c>
      <c r="K232" s="31">
        <v>0</v>
      </c>
      <c r="L232" s="31">
        <v>0</v>
      </c>
      <c r="M232" s="32">
        <v>0</v>
      </c>
      <c r="N232" s="31">
        <v>0</v>
      </c>
      <c r="O232" s="31">
        <v>0</v>
      </c>
      <c r="P232" s="24" t="s">
        <v>25</v>
      </c>
    </row>
    <row r="233" spans="1:28" s="58" customFormat="1" ht="16.8" x14ac:dyDescent="0.3">
      <c r="A233" s="24">
        <f>A232+1</f>
        <v>187</v>
      </c>
      <c r="B233" s="35" t="s">
        <v>28</v>
      </c>
      <c r="C233" s="103">
        <f>SUM(E233:O233)</f>
        <v>134400</v>
      </c>
      <c r="D233" s="112"/>
      <c r="E233" s="31">
        <v>0</v>
      </c>
      <c r="F233" s="31">
        <v>0</v>
      </c>
      <c r="G233" s="31">
        <v>0</v>
      </c>
      <c r="H233" s="40">
        <v>134400</v>
      </c>
      <c r="I233" s="40">
        <v>0</v>
      </c>
      <c r="J233" s="59">
        <v>0</v>
      </c>
      <c r="K233" s="31">
        <v>0</v>
      </c>
      <c r="L233" s="31">
        <v>0</v>
      </c>
      <c r="M233" s="32">
        <v>0</v>
      </c>
      <c r="N233" s="31">
        <v>0</v>
      </c>
      <c r="O233" s="31">
        <v>0</v>
      </c>
      <c r="P233" s="24" t="s">
        <v>25</v>
      </c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</row>
    <row r="234" spans="1:28" s="60" customFormat="1" ht="16.5" customHeight="1" x14ac:dyDescent="0.3">
      <c r="A234" s="24">
        <f>A233+1</f>
        <v>188</v>
      </c>
      <c r="B234" s="35" t="s">
        <v>29</v>
      </c>
      <c r="C234" s="103">
        <f>SUM(E234:K234)</f>
        <v>57600</v>
      </c>
      <c r="D234" s="112"/>
      <c r="E234" s="31">
        <v>0</v>
      </c>
      <c r="F234" s="31">
        <v>0</v>
      </c>
      <c r="G234" s="31">
        <v>0</v>
      </c>
      <c r="H234" s="40">
        <v>57600</v>
      </c>
      <c r="I234" s="61">
        <v>0</v>
      </c>
      <c r="J234" s="62">
        <v>0</v>
      </c>
      <c r="K234" s="63">
        <v>0</v>
      </c>
      <c r="L234" s="31">
        <v>0</v>
      </c>
      <c r="M234" s="32">
        <v>0</v>
      </c>
      <c r="N234" s="31">
        <v>0</v>
      </c>
      <c r="O234" s="31">
        <v>0</v>
      </c>
      <c r="P234" s="24" t="s">
        <v>25</v>
      </c>
    </row>
    <row r="235" spans="1:28" s="23" customFormat="1" ht="16.5" customHeight="1" x14ac:dyDescent="0.3">
      <c r="A235" s="24">
        <f>A234+1</f>
        <v>189</v>
      </c>
      <c r="B235" s="95" t="s">
        <v>30</v>
      </c>
      <c r="C235" s="96"/>
      <c r="D235" s="44">
        <f>SUM(E235:K235)</f>
        <v>0</v>
      </c>
      <c r="E235" s="45">
        <v>0</v>
      </c>
      <c r="F235" s="45">
        <v>0</v>
      </c>
      <c r="G235" s="45">
        <v>0</v>
      </c>
      <c r="H235" s="46">
        <v>0</v>
      </c>
      <c r="I235" s="46">
        <v>0</v>
      </c>
      <c r="J235" s="64">
        <v>0</v>
      </c>
      <c r="K235" s="45">
        <v>0</v>
      </c>
      <c r="L235" s="45">
        <v>0</v>
      </c>
      <c r="M235" s="47">
        <v>0</v>
      </c>
      <c r="N235" s="45">
        <v>0</v>
      </c>
      <c r="O235" s="45">
        <v>0</v>
      </c>
      <c r="P235" s="24" t="s">
        <v>25</v>
      </c>
    </row>
    <row r="236" spans="1:28" s="23" customFormat="1" ht="92.25" customHeight="1" x14ac:dyDescent="0.3">
      <c r="A236" s="24">
        <f>A235+1</f>
        <v>190</v>
      </c>
      <c r="B236" s="65" t="s">
        <v>86</v>
      </c>
      <c r="C236" s="35"/>
      <c r="D236" s="44">
        <f>SUM(E236:O236)</f>
        <v>15385</v>
      </c>
      <c r="E236" s="66">
        <v>0</v>
      </c>
      <c r="F236" s="66">
        <v>0</v>
      </c>
      <c r="G236" s="66">
        <v>0</v>
      </c>
      <c r="H236" s="66">
        <v>0</v>
      </c>
      <c r="I236" s="66">
        <v>0</v>
      </c>
      <c r="J236" s="45">
        <f t="shared" ref="J236:O236" si="80">J237</f>
        <v>5000</v>
      </c>
      <c r="K236" s="45">
        <f t="shared" si="80"/>
        <v>0</v>
      </c>
      <c r="L236" s="45">
        <f t="shared" si="80"/>
        <v>0</v>
      </c>
      <c r="M236" s="47">
        <f t="shared" si="80"/>
        <v>0</v>
      </c>
      <c r="N236" s="45">
        <f t="shared" si="80"/>
        <v>5158</v>
      </c>
      <c r="O236" s="45">
        <f t="shared" si="80"/>
        <v>5227</v>
      </c>
      <c r="P236" s="24">
        <v>38.39</v>
      </c>
    </row>
    <row r="237" spans="1:28" s="23" customFormat="1" ht="18" customHeight="1" x14ac:dyDescent="0.3">
      <c r="A237" s="24">
        <f>A236+1</f>
        <v>191</v>
      </c>
      <c r="B237" s="67" t="s">
        <v>29</v>
      </c>
      <c r="C237" s="35"/>
      <c r="D237" s="44">
        <f>SUM(E237:O237)</f>
        <v>15385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68">
        <v>5000</v>
      </c>
      <c r="K237" s="45">
        <v>0</v>
      </c>
      <c r="L237" s="45">
        <f>5000-5000</f>
        <v>0</v>
      </c>
      <c r="M237" s="69">
        <f>5000-5000</f>
        <v>0</v>
      </c>
      <c r="N237" s="45">
        <v>5158</v>
      </c>
      <c r="O237" s="45">
        <v>5227</v>
      </c>
      <c r="P237" s="70"/>
    </row>
    <row r="238" spans="1:28" s="71" customFormat="1" ht="31.5" customHeight="1" x14ac:dyDescent="0.3">
      <c r="A238" s="135" t="s">
        <v>87</v>
      </c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7"/>
      <c r="Q238" s="72"/>
    </row>
    <row r="239" spans="1:28" s="23" customFormat="1" ht="105.75" customHeight="1" x14ac:dyDescent="0.3">
      <c r="A239" s="24">
        <f>A237+1</f>
        <v>192</v>
      </c>
      <c r="B239" s="97" t="s">
        <v>88</v>
      </c>
      <c r="C239" s="98"/>
      <c r="D239" s="30">
        <f>SUM(E239:O239)</f>
        <v>783500</v>
      </c>
      <c r="E239" s="30">
        <f t="shared" ref="E239:O239" si="81">SUM(E240:E243)</f>
        <v>181200</v>
      </c>
      <c r="F239" s="30">
        <f t="shared" si="81"/>
        <v>40000</v>
      </c>
      <c r="G239" s="30">
        <f t="shared" si="81"/>
        <v>54200</v>
      </c>
      <c r="H239" s="39">
        <f t="shared" si="81"/>
        <v>62912</v>
      </c>
      <c r="I239" s="39">
        <f t="shared" si="81"/>
        <v>88473</v>
      </c>
      <c r="J239" s="30">
        <f t="shared" si="81"/>
        <v>54000</v>
      </c>
      <c r="K239" s="30">
        <f t="shared" si="81"/>
        <v>44000</v>
      </c>
      <c r="L239" s="30">
        <f t="shared" si="81"/>
        <v>86000</v>
      </c>
      <c r="M239" s="37">
        <f t="shared" si="81"/>
        <v>48104</v>
      </c>
      <c r="N239" s="30">
        <f t="shared" si="81"/>
        <v>61893</v>
      </c>
      <c r="O239" s="30">
        <f t="shared" si="81"/>
        <v>62718</v>
      </c>
      <c r="P239" s="24" t="s">
        <v>32</v>
      </c>
      <c r="Q239" s="72"/>
    </row>
    <row r="240" spans="1:28" s="23" customFormat="1" ht="17.25" customHeight="1" x14ac:dyDescent="0.3">
      <c r="A240" s="24">
        <f>A239+1</f>
        <v>193</v>
      </c>
      <c r="B240" s="95" t="s">
        <v>27</v>
      </c>
      <c r="C240" s="96"/>
      <c r="D240" s="30">
        <f>SUM(E240:K240)</f>
        <v>0</v>
      </c>
      <c r="E240" s="31">
        <f t="shared" ref="E240:K243" si="82">E246</f>
        <v>0</v>
      </c>
      <c r="F240" s="31">
        <f t="shared" si="82"/>
        <v>0</v>
      </c>
      <c r="G240" s="31">
        <f t="shared" si="82"/>
        <v>0</v>
      </c>
      <c r="H240" s="40">
        <f t="shared" si="82"/>
        <v>0</v>
      </c>
      <c r="I240" s="40">
        <f t="shared" si="82"/>
        <v>0</v>
      </c>
      <c r="J240" s="31">
        <f t="shared" si="82"/>
        <v>0</v>
      </c>
      <c r="K240" s="31">
        <f t="shared" si="82"/>
        <v>0</v>
      </c>
      <c r="L240" s="31">
        <v>0</v>
      </c>
      <c r="M240" s="32">
        <v>0</v>
      </c>
      <c r="N240" s="31">
        <v>0</v>
      </c>
      <c r="O240" s="31">
        <v>0</v>
      </c>
      <c r="P240" s="24" t="s">
        <v>25</v>
      </c>
      <c r="Q240" s="72"/>
    </row>
    <row r="241" spans="1:20" s="23" customFormat="1" ht="16.8" x14ac:dyDescent="0.3">
      <c r="A241" s="24">
        <f>A240+1</f>
        <v>194</v>
      </c>
      <c r="B241" s="95" t="s">
        <v>28</v>
      </c>
      <c r="C241" s="96"/>
      <c r="D241" s="30">
        <f>SUM(E241:O241)</f>
        <v>176400</v>
      </c>
      <c r="E241" s="31">
        <f t="shared" si="82"/>
        <v>81200</v>
      </c>
      <c r="F241" s="31">
        <f t="shared" si="82"/>
        <v>0</v>
      </c>
      <c r="G241" s="31">
        <f t="shared" si="82"/>
        <v>15700</v>
      </c>
      <c r="H241" s="40">
        <f t="shared" si="82"/>
        <v>21300</v>
      </c>
      <c r="I241" s="40">
        <f t="shared" si="82"/>
        <v>44200</v>
      </c>
      <c r="J241" s="31">
        <f t="shared" si="82"/>
        <v>14000</v>
      </c>
      <c r="K241" s="31">
        <f t="shared" si="82"/>
        <v>0</v>
      </c>
      <c r="L241" s="31">
        <v>0</v>
      </c>
      <c r="M241" s="32">
        <v>0</v>
      </c>
      <c r="N241" s="31">
        <v>0</v>
      </c>
      <c r="O241" s="31">
        <v>0</v>
      </c>
      <c r="P241" s="24" t="s">
        <v>25</v>
      </c>
    </row>
    <row r="242" spans="1:20" s="23" customFormat="1" ht="16.8" x14ac:dyDescent="0.3">
      <c r="A242" s="24">
        <f>A241+1</f>
        <v>195</v>
      </c>
      <c r="B242" s="95" t="s">
        <v>29</v>
      </c>
      <c r="C242" s="96"/>
      <c r="D242" s="30">
        <f>SUM(E242:O242)</f>
        <v>607100</v>
      </c>
      <c r="E242" s="31">
        <f t="shared" si="82"/>
        <v>100000</v>
      </c>
      <c r="F242" s="31">
        <f t="shared" si="82"/>
        <v>40000</v>
      </c>
      <c r="G242" s="31">
        <f t="shared" si="82"/>
        <v>38500</v>
      </c>
      <c r="H242" s="40">
        <f t="shared" si="82"/>
        <v>41612</v>
      </c>
      <c r="I242" s="40">
        <f t="shared" si="82"/>
        <v>44273</v>
      </c>
      <c r="J242" s="31">
        <f t="shared" si="82"/>
        <v>40000</v>
      </c>
      <c r="K242" s="31">
        <f t="shared" si="82"/>
        <v>44000</v>
      </c>
      <c r="L242" s="31">
        <f>L248</f>
        <v>86000</v>
      </c>
      <c r="M242" s="32">
        <f>M248</f>
        <v>48104</v>
      </c>
      <c r="N242" s="31">
        <f>N248</f>
        <v>61893</v>
      </c>
      <c r="O242" s="31">
        <f>O248</f>
        <v>62718</v>
      </c>
      <c r="P242" s="24" t="s">
        <v>25</v>
      </c>
    </row>
    <row r="243" spans="1:20" s="23" customFormat="1" ht="16.8" x14ac:dyDescent="0.3">
      <c r="A243" s="24">
        <f>A242+1</f>
        <v>196</v>
      </c>
      <c r="B243" s="95" t="s">
        <v>30</v>
      </c>
      <c r="C243" s="96"/>
      <c r="D243" s="30">
        <f>SUM(E243:K243)</f>
        <v>0</v>
      </c>
      <c r="E243" s="31">
        <f t="shared" si="82"/>
        <v>0</v>
      </c>
      <c r="F243" s="31">
        <f t="shared" si="82"/>
        <v>0</v>
      </c>
      <c r="G243" s="31">
        <f t="shared" si="82"/>
        <v>0</v>
      </c>
      <c r="H243" s="40">
        <f t="shared" si="82"/>
        <v>0</v>
      </c>
      <c r="I243" s="40">
        <f t="shared" si="82"/>
        <v>0</v>
      </c>
      <c r="J243" s="31">
        <f t="shared" si="82"/>
        <v>0</v>
      </c>
      <c r="K243" s="31">
        <f t="shared" si="82"/>
        <v>0</v>
      </c>
      <c r="L243" s="31">
        <v>0</v>
      </c>
      <c r="M243" s="32">
        <v>0</v>
      </c>
      <c r="N243" s="31">
        <v>0</v>
      </c>
      <c r="O243" s="31">
        <v>0</v>
      </c>
      <c r="P243" s="24" t="s">
        <v>25</v>
      </c>
    </row>
    <row r="244" spans="1:20" s="23" customFormat="1" ht="16.8" x14ac:dyDescent="0.3">
      <c r="A244" s="97" t="s">
        <v>31</v>
      </c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98"/>
    </row>
    <row r="245" spans="1:20" s="23" customFormat="1" ht="84" customHeight="1" x14ac:dyDescent="0.3">
      <c r="A245" s="24">
        <f>A243+1</f>
        <v>197</v>
      </c>
      <c r="B245" s="81" t="s">
        <v>31</v>
      </c>
      <c r="C245" s="124"/>
      <c r="D245" s="30">
        <f>SUM(E245:O245)</f>
        <v>783500</v>
      </c>
      <c r="E245" s="30">
        <f t="shared" ref="E245:O245" si="83">SUM(E246:E249)</f>
        <v>181200</v>
      </c>
      <c r="F245" s="30">
        <f t="shared" si="83"/>
        <v>40000</v>
      </c>
      <c r="G245" s="30">
        <f t="shared" si="83"/>
        <v>54200</v>
      </c>
      <c r="H245" s="30">
        <f t="shared" si="83"/>
        <v>62912</v>
      </c>
      <c r="I245" s="30">
        <f t="shared" si="83"/>
        <v>88473</v>
      </c>
      <c r="J245" s="30">
        <f t="shared" si="83"/>
        <v>54000</v>
      </c>
      <c r="K245" s="30">
        <f t="shared" si="83"/>
        <v>44000</v>
      </c>
      <c r="L245" s="30">
        <f t="shared" si="83"/>
        <v>86000</v>
      </c>
      <c r="M245" s="37">
        <f t="shared" si="83"/>
        <v>48104</v>
      </c>
      <c r="N245" s="30">
        <f t="shared" si="83"/>
        <v>61893</v>
      </c>
      <c r="O245" s="30">
        <f t="shared" si="83"/>
        <v>62718</v>
      </c>
      <c r="P245" s="24" t="s">
        <v>25</v>
      </c>
    </row>
    <row r="246" spans="1:20" s="23" customFormat="1" ht="16.8" x14ac:dyDescent="0.3">
      <c r="A246" s="24">
        <f>A245+1</f>
        <v>198</v>
      </c>
      <c r="B246" s="95" t="s">
        <v>27</v>
      </c>
      <c r="C246" s="96"/>
      <c r="D246" s="30">
        <f>SUM(E246:O246)</f>
        <v>0</v>
      </c>
      <c r="E246" s="31">
        <f t="shared" ref="E246:O246" si="84">E252+E258+E264+E270</f>
        <v>0</v>
      </c>
      <c r="F246" s="31">
        <f t="shared" si="84"/>
        <v>0</v>
      </c>
      <c r="G246" s="31">
        <f t="shared" si="84"/>
        <v>0</v>
      </c>
      <c r="H246" s="40">
        <f t="shared" si="84"/>
        <v>0</v>
      </c>
      <c r="I246" s="40">
        <f t="shared" si="84"/>
        <v>0</v>
      </c>
      <c r="J246" s="31">
        <f t="shared" si="84"/>
        <v>0</v>
      </c>
      <c r="K246" s="31">
        <f t="shared" si="84"/>
        <v>0</v>
      </c>
      <c r="L246" s="31">
        <f t="shared" si="84"/>
        <v>0</v>
      </c>
      <c r="M246" s="32">
        <f t="shared" si="84"/>
        <v>0</v>
      </c>
      <c r="N246" s="31">
        <f t="shared" si="84"/>
        <v>0</v>
      </c>
      <c r="O246" s="31">
        <f t="shared" si="84"/>
        <v>0</v>
      </c>
      <c r="P246" s="24" t="s">
        <v>25</v>
      </c>
    </row>
    <row r="247" spans="1:20" s="23" customFormat="1" ht="16.8" x14ac:dyDescent="0.3">
      <c r="A247" s="24">
        <f>A246+1</f>
        <v>199</v>
      </c>
      <c r="B247" s="95" t="s">
        <v>28</v>
      </c>
      <c r="C247" s="96"/>
      <c r="D247" s="30">
        <f>SUM(E247:O247)</f>
        <v>176400</v>
      </c>
      <c r="E247" s="31">
        <f t="shared" ref="E247:I249" si="85">E253+E259+E265+E271</f>
        <v>81200</v>
      </c>
      <c r="F247" s="31">
        <f t="shared" si="85"/>
        <v>0</v>
      </c>
      <c r="G247" s="31">
        <f t="shared" si="85"/>
        <v>15700</v>
      </c>
      <c r="H247" s="40">
        <f t="shared" si="85"/>
        <v>21300</v>
      </c>
      <c r="I247" s="40">
        <f t="shared" si="85"/>
        <v>44200</v>
      </c>
      <c r="J247" s="31">
        <f>J253+J259+J265+J271+J279</f>
        <v>14000</v>
      </c>
      <c r="K247" s="31">
        <f>K253+K259+K265+K271</f>
        <v>0</v>
      </c>
      <c r="L247" s="31">
        <f>L253+L259+L265+L271</f>
        <v>0</v>
      </c>
      <c r="M247" s="32">
        <f>M253+M259+M265+M271</f>
        <v>0</v>
      </c>
      <c r="N247" s="31">
        <f>N253+N259+N265+N271</f>
        <v>0</v>
      </c>
      <c r="O247" s="31">
        <f>O253+O259+O265+O271</f>
        <v>0</v>
      </c>
      <c r="P247" s="24" t="s">
        <v>25</v>
      </c>
      <c r="T247" s="73"/>
    </row>
    <row r="248" spans="1:20" s="23" customFormat="1" ht="16.8" x14ac:dyDescent="0.3">
      <c r="A248" s="24">
        <f>A247+1</f>
        <v>200</v>
      </c>
      <c r="B248" s="95" t="s">
        <v>29</v>
      </c>
      <c r="C248" s="96"/>
      <c r="D248" s="30">
        <f>SUM(E248:O248)</f>
        <v>607100</v>
      </c>
      <c r="E248" s="31">
        <f t="shared" si="85"/>
        <v>100000</v>
      </c>
      <c r="F248" s="31">
        <f t="shared" si="85"/>
        <v>40000</v>
      </c>
      <c r="G248" s="31">
        <f t="shared" si="85"/>
        <v>38500</v>
      </c>
      <c r="H248" s="40">
        <f t="shared" si="85"/>
        <v>41612</v>
      </c>
      <c r="I248" s="40">
        <f t="shared" si="85"/>
        <v>44273</v>
      </c>
      <c r="J248" s="31">
        <f>J254+J260+J266+J272+J280</f>
        <v>40000</v>
      </c>
      <c r="K248" s="31">
        <f>K254+K260+K266+K272+K280</f>
        <v>44000</v>
      </c>
      <c r="L248" s="31">
        <f>L254+L260+L266+L272+L280</f>
        <v>86000</v>
      </c>
      <c r="M248" s="32">
        <f>M254+M260+M266+M272+M280</f>
        <v>48104</v>
      </c>
      <c r="N248" s="31">
        <f>N254+N260+N266+N272+N280</f>
        <v>61893</v>
      </c>
      <c r="O248" s="31">
        <f>O254+O260+O266+O272+O280</f>
        <v>62718</v>
      </c>
      <c r="P248" s="24" t="s">
        <v>25</v>
      </c>
    </row>
    <row r="249" spans="1:20" s="23" customFormat="1" ht="16.8" x14ac:dyDescent="0.3">
      <c r="A249" s="24">
        <f>A248+1</f>
        <v>201</v>
      </c>
      <c r="B249" s="91" t="s">
        <v>30</v>
      </c>
      <c r="C249" s="92"/>
      <c r="D249" s="30">
        <f>SUM(E249:O249)</f>
        <v>0</v>
      </c>
      <c r="E249" s="31">
        <f t="shared" si="85"/>
        <v>0</v>
      </c>
      <c r="F249" s="31">
        <f t="shared" si="85"/>
        <v>0</v>
      </c>
      <c r="G249" s="31">
        <f t="shared" si="85"/>
        <v>0</v>
      </c>
      <c r="H249" s="40">
        <f t="shared" si="85"/>
        <v>0</v>
      </c>
      <c r="I249" s="40">
        <f t="shared" si="85"/>
        <v>0</v>
      </c>
      <c r="J249" s="31">
        <f>J255+J261+J267+J273</f>
        <v>0</v>
      </c>
      <c r="K249" s="31">
        <f>K255+K261+K267+K273</f>
        <v>0</v>
      </c>
      <c r="L249" s="31">
        <v>0</v>
      </c>
      <c r="M249" s="32">
        <f>M255+M261+M267+M273</f>
        <v>0</v>
      </c>
      <c r="N249" s="31">
        <f>N255+N261+N267+N273</f>
        <v>0</v>
      </c>
      <c r="O249" s="31">
        <f>O255+O261+O267+O273</f>
        <v>0</v>
      </c>
      <c r="P249" s="24" t="s">
        <v>25</v>
      </c>
    </row>
    <row r="250" spans="1:20" s="23" customFormat="1" ht="16.8" x14ac:dyDescent="0.3">
      <c r="A250" s="81">
        <f>A249+1</f>
        <v>202</v>
      </c>
      <c r="B250" s="99" t="s">
        <v>52</v>
      </c>
      <c r="C250" s="100"/>
      <c r="D250" s="106">
        <f>SUM(E250:O251)</f>
        <v>298360</v>
      </c>
      <c r="E250" s="106">
        <f t="shared" ref="E250:O250" si="86">SUM(E252:E255)</f>
        <v>50200</v>
      </c>
      <c r="F250" s="106">
        <f t="shared" si="86"/>
        <v>40000</v>
      </c>
      <c r="G250" s="106">
        <f t="shared" si="86"/>
        <v>15600</v>
      </c>
      <c r="H250" s="106">
        <f t="shared" si="86"/>
        <v>22700</v>
      </c>
      <c r="I250" s="106">
        <f t="shared" si="86"/>
        <v>35219</v>
      </c>
      <c r="J250" s="103">
        <f t="shared" si="86"/>
        <v>20000</v>
      </c>
      <c r="K250" s="103">
        <f t="shared" si="86"/>
        <v>10000</v>
      </c>
      <c r="L250" s="103">
        <f t="shared" si="86"/>
        <v>55000</v>
      </c>
      <c r="M250" s="89">
        <f t="shared" si="86"/>
        <v>8104</v>
      </c>
      <c r="N250" s="103">
        <f t="shared" si="86"/>
        <v>20631</v>
      </c>
      <c r="O250" s="103">
        <f t="shared" si="86"/>
        <v>20906</v>
      </c>
      <c r="P250" s="81" t="s">
        <v>89</v>
      </c>
    </row>
    <row r="251" spans="1:20" s="23" customFormat="1" ht="96.75" customHeight="1" x14ac:dyDescent="0.3">
      <c r="A251" s="82"/>
      <c r="B251" s="101" t="s">
        <v>90</v>
      </c>
      <c r="C251" s="102"/>
      <c r="D251" s="107"/>
      <c r="E251" s="107"/>
      <c r="F251" s="107"/>
      <c r="G251" s="107"/>
      <c r="H251" s="107"/>
      <c r="I251" s="107"/>
      <c r="J251" s="104"/>
      <c r="K251" s="104"/>
      <c r="L251" s="104"/>
      <c r="M251" s="90"/>
      <c r="N251" s="104"/>
      <c r="O251" s="104"/>
      <c r="P251" s="82"/>
    </row>
    <row r="252" spans="1:20" s="23" customFormat="1" ht="16.8" x14ac:dyDescent="0.3">
      <c r="A252" s="24">
        <f>A250+1</f>
        <v>203</v>
      </c>
      <c r="B252" s="95" t="s">
        <v>27</v>
      </c>
      <c r="C252" s="96"/>
      <c r="D252" s="39">
        <f>SUM(E252:K252)</f>
        <v>0</v>
      </c>
      <c r="E252" s="40">
        <v>0</v>
      </c>
      <c r="F252" s="40">
        <v>0</v>
      </c>
      <c r="G252" s="40">
        <v>0</v>
      </c>
      <c r="H252" s="40">
        <v>0</v>
      </c>
      <c r="I252" s="40">
        <v>0</v>
      </c>
      <c r="J252" s="31">
        <v>0</v>
      </c>
      <c r="K252" s="31">
        <v>0</v>
      </c>
      <c r="L252" s="31">
        <v>0</v>
      </c>
      <c r="M252" s="32">
        <v>0</v>
      </c>
      <c r="N252" s="31">
        <v>0</v>
      </c>
      <c r="O252" s="31">
        <v>0</v>
      </c>
      <c r="P252" s="24" t="s">
        <v>25</v>
      </c>
    </row>
    <row r="253" spans="1:20" s="48" customFormat="1" ht="16.8" x14ac:dyDescent="0.3">
      <c r="A253" s="24">
        <f>A252+1</f>
        <v>204</v>
      </c>
      <c r="B253" s="95" t="s">
        <v>28</v>
      </c>
      <c r="C253" s="96"/>
      <c r="D253" s="39">
        <f>SUM(E253:O253)</f>
        <v>59700</v>
      </c>
      <c r="E253" s="40">
        <v>16600</v>
      </c>
      <c r="F253" s="40">
        <v>0</v>
      </c>
      <c r="G253" s="40">
        <v>7800</v>
      </c>
      <c r="H253" s="40">
        <v>7700</v>
      </c>
      <c r="I253" s="40">
        <v>17600</v>
      </c>
      <c r="J253" s="31">
        <v>10000</v>
      </c>
      <c r="K253" s="31">
        <v>0</v>
      </c>
      <c r="L253" s="31">
        <v>0</v>
      </c>
      <c r="M253" s="32">
        <v>0</v>
      </c>
      <c r="N253" s="31">
        <v>0</v>
      </c>
      <c r="O253" s="31">
        <v>0</v>
      </c>
      <c r="P253" s="24" t="s">
        <v>25</v>
      </c>
    </row>
    <row r="254" spans="1:20" s="23" customFormat="1" ht="16.8" x14ac:dyDescent="0.3">
      <c r="A254" s="24">
        <f>A253+1</f>
        <v>205</v>
      </c>
      <c r="B254" s="95" t="s">
        <v>29</v>
      </c>
      <c r="C254" s="96"/>
      <c r="D254" s="39">
        <f>SUM(E254:O254)</f>
        <v>238660</v>
      </c>
      <c r="E254" s="40">
        <v>33600</v>
      </c>
      <c r="F254" s="40">
        <v>40000</v>
      </c>
      <c r="G254" s="40">
        <v>7800</v>
      </c>
      <c r="H254" s="40">
        <v>15000</v>
      </c>
      <c r="I254" s="40">
        <v>17619</v>
      </c>
      <c r="J254" s="31">
        <v>10000</v>
      </c>
      <c r="K254" s="31">
        <v>10000</v>
      </c>
      <c r="L254" s="31">
        <f>10000+45000</f>
        <v>55000</v>
      </c>
      <c r="M254" s="32">
        <f>20000-11896</f>
        <v>8104</v>
      </c>
      <c r="N254" s="31">
        <v>20631</v>
      </c>
      <c r="O254" s="31">
        <v>20906</v>
      </c>
      <c r="P254" s="24" t="s">
        <v>25</v>
      </c>
    </row>
    <row r="255" spans="1:20" s="23" customFormat="1" ht="16.8" x14ac:dyDescent="0.3">
      <c r="A255" s="24">
        <f>A254+1</f>
        <v>206</v>
      </c>
      <c r="B255" s="95" t="s">
        <v>30</v>
      </c>
      <c r="C255" s="96"/>
      <c r="D255" s="39">
        <f>SUM(E255:K255)</f>
        <v>0</v>
      </c>
      <c r="E255" s="40">
        <v>0</v>
      </c>
      <c r="F255" s="40">
        <v>0</v>
      </c>
      <c r="G255" s="40">
        <v>0</v>
      </c>
      <c r="H255" s="40">
        <v>0</v>
      </c>
      <c r="I255" s="40">
        <v>0</v>
      </c>
      <c r="J255" s="31">
        <v>0</v>
      </c>
      <c r="K255" s="31">
        <v>0</v>
      </c>
      <c r="L255" s="31">
        <v>0</v>
      </c>
      <c r="M255" s="32">
        <v>0</v>
      </c>
      <c r="N255" s="31">
        <v>0</v>
      </c>
      <c r="O255" s="31">
        <v>0</v>
      </c>
      <c r="P255" s="24" t="s">
        <v>25</v>
      </c>
    </row>
    <row r="256" spans="1:20" s="23" customFormat="1" ht="16.8" x14ac:dyDescent="0.3">
      <c r="A256" s="81">
        <f>A255+1</f>
        <v>207</v>
      </c>
      <c r="B256" s="99" t="s">
        <v>40</v>
      </c>
      <c r="C256" s="100"/>
      <c r="D256" s="103">
        <f>SUM(E256:O257)</f>
        <v>142466</v>
      </c>
      <c r="E256" s="103">
        <f>SUM(E258:E261)</f>
        <v>33200</v>
      </c>
      <c r="F256" s="103">
        <f>SUM(F258:F261)</f>
        <v>0</v>
      </c>
      <c r="G256" s="103">
        <f>SUM(G258:G261)</f>
        <v>15800</v>
      </c>
      <c r="H256" s="106">
        <f>SUM(H258:H261)</f>
        <v>40212</v>
      </c>
      <c r="I256" s="106">
        <f>SUM(I258:I261)</f>
        <v>53254</v>
      </c>
      <c r="J256" s="103">
        <f>J260</f>
        <v>0</v>
      </c>
      <c r="K256" s="103">
        <f>SUM(K258:K261)</f>
        <v>0</v>
      </c>
      <c r="L256" s="113">
        <v>0</v>
      </c>
      <c r="M256" s="115">
        <v>0</v>
      </c>
      <c r="N256" s="113">
        <v>0</v>
      </c>
      <c r="O256" s="113">
        <v>0</v>
      </c>
      <c r="P256" s="81" t="s">
        <v>89</v>
      </c>
    </row>
    <row r="257" spans="1:16" s="23" customFormat="1" ht="156.75" customHeight="1" x14ac:dyDescent="0.3">
      <c r="A257" s="82"/>
      <c r="B257" s="101" t="s">
        <v>91</v>
      </c>
      <c r="C257" s="102"/>
      <c r="D257" s="104"/>
      <c r="E257" s="104"/>
      <c r="F257" s="104"/>
      <c r="G257" s="104"/>
      <c r="H257" s="107"/>
      <c r="I257" s="107"/>
      <c r="J257" s="104"/>
      <c r="K257" s="104"/>
      <c r="L257" s="114"/>
      <c r="M257" s="116"/>
      <c r="N257" s="114"/>
      <c r="O257" s="114"/>
      <c r="P257" s="82"/>
    </row>
    <row r="258" spans="1:16" s="23" customFormat="1" ht="16.8" x14ac:dyDescent="0.3">
      <c r="A258" s="24">
        <f>A256+1</f>
        <v>208</v>
      </c>
      <c r="B258" s="95" t="s">
        <v>27</v>
      </c>
      <c r="C258" s="96"/>
      <c r="D258" s="30">
        <f>SUM(E258:K258)</f>
        <v>0</v>
      </c>
      <c r="E258" s="31">
        <v>0</v>
      </c>
      <c r="F258" s="31">
        <v>0</v>
      </c>
      <c r="G258" s="31">
        <v>0</v>
      </c>
      <c r="H258" s="40">
        <v>0</v>
      </c>
      <c r="I258" s="40">
        <v>0</v>
      </c>
      <c r="J258" s="31">
        <v>0</v>
      </c>
      <c r="K258" s="31">
        <v>0</v>
      </c>
      <c r="L258" s="31">
        <v>0</v>
      </c>
      <c r="M258" s="32">
        <v>0</v>
      </c>
      <c r="N258" s="31">
        <v>0</v>
      </c>
      <c r="O258" s="31">
        <v>0</v>
      </c>
      <c r="P258" s="24" t="s">
        <v>25</v>
      </c>
    </row>
    <row r="259" spans="1:16" s="48" customFormat="1" ht="16.8" x14ac:dyDescent="0.3">
      <c r="A259" s="24">
        <f>A258+1</f>
        <v>209</v>
      </c>
      <c r="B259" s="95" t="s">
        <v>28</v>
      </c>
      <c r="C259" s="96"/>
      <c r="D259" s="30">
        <f>SUM(E259:K259)</f>
        <v>64700</v>
      </c>
      <c r="E259" s="31">
        <v>16600</v>
      </c>
      <c r="F259" s="31">
        <v>0</v>
      </c>
      <c r="G259" s="31">
        <v>7900</v>
      </c>
      <c r="H259" s="40">
        <v>13600</v>
      </c>
      <c r="I259" s="40">
        <v>26600</v>
      </c>
      <c r="J259" s="31">
        <v>0</v>
      </c>
      <c r="K259" s="31">
        <v>0</v>
      </c>
      <c r="L259" s="31">
        <v>0</v>
      </c>
      <c r="M259" s="32">
        <v>0</v>
      </c>
      <c r="N259" s="31">
        <v>0</v>
      </c>
      <c r="O259" s="31">
        <v>0</v>
      </c>
      <c r="P259" s="24" t="s">
        <v>25</v>
      </c>
    </row>
    <row r="260" spans="1:16" s="23" customFormat="1" ht="16.8" x14ac:dyDescent="0.3">
      <c r="A260" s="24">
        <f>A259+1</f>
        <v>210</v>
      </c>
      <c r="B260" s="95" t="s">
        <v>29</v>
      </c>
      <c r="C260" s="96"/>
      <c r="D260" s="30">
        <f>SUM(E260:O260)</f>
        <v>77766</v>
      </c>
      <c r="E260" s="31">
        <v>16600</v>
      </c>
      <c r="F260" s="31">
        <v>0</v>
      </c>
      <c r="G260" s="31">
        <v>7900</v>
      </c>
      <c r="H260" s="40">
        <v>26612</v>
      </c>
      <c r="I260" s="40">
        <v>26654</v>
      </c>
      <c r="J260" s="31">
        <v>0</v>
      </c>
      <c r="K260" s="31">
        <v>0</v>
      </c>
      <c r="L260" s="31">
        <v>0</v>
      </c>
      <c r="M260" s="32">
        <v>0</v>
      </c>
      <c r="N260" s="31">
        <v>0</v>
      </c>
      <c r="O260" s="31">
        <v>0</v>
      </c>
      <c r="P260" s="24" t="s">
        <v>25</v>
      </c>
    </row>
    <row r="261" spans="1:16" s="23" customFormat="1" ht="16.8" x14ac:dyDescent="0.3">
      <c r="A261" s="24">
        <f>A260+1</f>
        <v>211</v>
      </c>
      <c r="B261" s="95" t="s">
        <v>30</v>
      </c>
      <c r="C261" s="96"/>
      <c r="D261" s="30">
        <f>SUM(E261:K261)</f>
        <v>0</v>
      </c>
      <c r="E261" s="31">
        <v>0</v>
      </c>
      <c r="F261" s="31">
        <v>0</v>
      </c>
      <c r="G261" s="31">
        <v>0</v>
      </c>
      <c r="H261" s="40">
        <v>0</v>
      </c>
      <c r="I261" s="40">
        <v>0</v>
      </c>
      <c r="J261" s="31">
        <v>0</v>
      </c>
      <c r="K261" s="31">
        <v>0</v>
      </c>
      <c r="L261" s="31">
        <v>0</v>
      </c>
      <c r="M261" s="32">
        <v>0</v>
      </c>
      <c r="N261" s="31">
        <v>0</v>
      </c>
      <c r="O261" s="31">
        <v>0</v>
      </c>
      <c r="P261" s="24" t="s">
        <v>25</v>
      </c>
    </row>
    <row r="262" spans="1:16" s="23" customFormat="1" ht="16.8" x14ac:dyDescent="0.3">
      <c r="A262" s="81">
        <f>A261+1</f>
        <v>212</v>
      </c>
      <c r="B262" s="99" t="s">
        <v>42</v>
      </c>
      <c r="C262" s="100"/>
      <c r="D262" s="103">
        <f>SUM(E262:O263)</f>
        <v>122800</v>
      </c>
      <c r="E262" s="103">
        <f t="shared" ref="E262:M262" si="87">SUM(E264:E267)</f>
        <v>97800</v>
      </c>
      <c r="F262" s="103">
        <f t="shared" si="87"/>
        <v>0</v>
      </c>
      <c r="G262" s="103">
        <f t="shared" si="87"/>
        <v>0</v>
      </c>
      <c r="H262" s="106">
        <f t="shared" si="87"/>
        <v>0</v>
      </c>
      <c r="I262" s="106">
        <f t="shared" si="87"/>
        <v>0</v>
      </c>
      <c r="J262" s="103">
        <f t="shared" si="87"/>
        <v>25000</v>
      </c>
      <c r="K262" s="103">
        <f t="shared" si="87"/>
        <v>0</v>
      </c>
      <c r="L262" s="103">
        <f t="shared" si="87"/>
        <v>0</v>
      </c>
      <c r="M262" s="89">
        <f t="shared" si="87"/>
        <v>0</v>
      </c>
      <c r="N262" s="113">
        <v>0</v>
      </c>
      <c r="O262" s="113">
        <v>0</v>
      </c>
      <c r="P262" s="81" t="s">
        <v>89</v>
      </c>
    </row>
    <row r="263" spans="1:16" s="23" customFormat="1" ht="114" customHeight="1" x14ac:dyDescent="0.3">
      <c r="A263" s="82"/>
      <c r="B263" s="101" t="s">
        <v>92</v>
      </c>
      <c r="C263" s="102"/>
      <c r="D263" s="104"/>
      <c r="E263" s="104"/>
      <c r="F263" s="104"/>
      <c r="G263" s="104"/>
      <c r="H263" s="107"/>
      <c r="I263" s="107"/>
      <c r="J263" s="104"/>
      <c r="K263" s="104"/>
      <c r="L263" s="104"/>
      <c r="M263" s="90"/>
      <c r="N263" s="114"/>
      <c r="O263" s="114"/>
      <c r="P263" s="82"/>
    </row>
    <row r="264" spans="1:16" s="23" customFormat="1" ht="16.8" x14ac:dyDescent="0.3">
      <c r="A264" s="24">
        <f>A262+1</f>
        <v>213</v>
      </c>
      <c r="B264" s="95" t="s">
        <v>27</v>
      </c>
      <c r="C264" s="96"/>
      <c r="D264" s="30">
        <f>SUM(E264:K264)</f>
        <v>0</v>
      </c>
      <c r="E264" s="31">
        <v>0</v>
      </c>
      <c r="F264" s="31">
        <v>0</v>
      </c>
      <c r="G264" s="31">
        <v>0</v>
      </c>
      <c r="H264" s="40">
        <v>0</v>
      </c>
      <c r="I264" s="40">
        <v>0</v>
      </c>
      <c r="J264" s="31">
        <v>0</v>
      </c>
      <c r="K264" s="31">
        <v>0</v>
      </c>
      <c r="L264" s="31">
        <v>0</v>
      </c>
      <c r="M264" s="32">
        <v>0</v>
      </c>
      <c r="N264" s="31">
        <v>0</v>
      </c>
      <c r="O264" s="31">
        <v>0</v>
      </c>
      <c r="P264" s="24" t="s">
        <v>25</v>
      </c>
    </row>
    <row r="265" spans="1:16" s="23" customFormat="1" ht="16.8" x14ac:dyDescent="0.3">
      <c r="A265" s="24">
        <f>A264+1</f>
        <v>214</v>
      </c>
      <c r="B265" s="95" t="s">
        <v>28</v>
      </c>
      <c r="C265" s="96"/>
      <c r="D265" s="30">
        <f>SUM(E265:K265)</f>
        <v>48000</v>
      </c>
      <c r="E265" s="31">
        <v>48000</v>
      </c>
      <c r="F265" s="31">
        <v>0</v>
      </c>
      <c r="G265" s="31">
        <v>0</v>
      </c>
      <c r="H265" s="40">
        <v>0</v>
      </c>
      <c r="I265" s="40">
        <v>0</v>
      </c>
      <c r="J265" s="31">
        <v>0</v>
      </c>
      <c r="K265" s="31">
        <v>0</v>
      </c>
      <c r="L265" s="31">
        <v>0</v>
      </c>
      <c r="M265" s="32">
        <v>0</v>
      </c>
      <c r="N265" s="31">
        <v>0</v>
      </c>
      <c r="O265" s="31">
        <v>0</v>
      </c>
      <c r="P265" s="24" t="s">
        <v>25</v>
      </c>
    </row>
    <row r="266" spans="1:16" s="23" customFormat="1" ht="16.8" x14ac:dyDescent="0.3">
      <c r="A266" s="24">
        <f>A265+1</f>
        <v>215</v>
      </c>
      <c r="B266" s="95" t="s">
        <v>29</v>
      </c>
      <c r="C266" s="96"/>
      <c r="D266" s="30">
        <f>SUM(E266:K266)</f>
        <v>74800</v>
      </c>
      <c r="E266" s="31">
        <v>49800</v>
      </c>
      <c r="F266" s="31">
        <v>0</v>
      </c>
      <c r="G266" s="31">
        <v>0</v>
      </c>
      <c r="H266" s="40">
        <v>0</v>
      </c>
      <c r="I266" s="40">
        <v>0</v>
      </c>
      <c r="J266" s="31">
        <v>25000</v>
      </c>
      <c r="K266" s="31">
        <v>0</v>
      </c>
      <c r="L266" s="31">
        <v>0</v>
      </c>
      <c r="M266" s="32">
        <v>0</v>
      </c>
      <c r="N266" s="31">
        <v>0</v>
      </c>
      <c r="O266" s="31">
        <v>0</v>
      </c>
      <c r="P266" s="24" t="s">
        <v>25</v>
      </c>
    </row>
    <row r="267" spans="1:16" s="23" customFormat="1" ht="16.8" x14ac:dyDescent="0.3">
      <c r="A267" s="24">
        <f>A266+1</f>
        <v>216</v>
      </c>
      <c r="B267" s="95" t="s">
        <v>30</v>
      </c>
      <c r="C267" s="96"/>
      <c r="D267" s="30">
        <f>SUM(E267:K267)</f>
        <v>0</v>
      </c>
      <c r="E267" s="31">
        <v>0</v>
      </c>
      <c r="F267" s="31">
        <v>0</v>
      </c>
      <c r="G267" s="31">
        <v>0</v>
      </c>
      <c r="H267" s="40">
        <v>0</v>
      </c>
      <c r="I267" s="40">
        <v>0</v>
      </c>
      <c r="J267" s="31">
        <v>0</v>
      </c>
      <c r="K267" s="31">
        <v>0</v>
      </c>
      <c r="L267" s="31">
        <v>0</v>
      </c>
      <c r="M267" s="32">
        <v>0</v>
      </c>
      <c r="N267" s="31">
        <v>0</v>
      </c>
      <c r="O267" s="31">
        <v>0</v>
      </c>
      <c r="P267" s="24" t="s">
        <v>25</v>
      </c>
    </row>
    <row r="268" spans="1:16" s="23" customFormat="1" ht="26.25" customHeight="1" x14ac:dyDescent="0.3">
      <c r="A268" s="81">
        <f>A267+1</f>
        <v>217</v>
      </c>
      <c r="B268" s="99" t="s">
        <v>85</v>
      </c>
      <c r="C268" s="100"/>
      <c r="D268" s="103">
        <f>SUM(E268:O269)</f>
        <v>22800</v>
      </c>
      <c r="E268" s="103">
        <f t="shared" ref="E268:K268" si="88">SUM(E270:E273)</f>
        <v>0</v>
      </c>
      <c r="F268" s="103">
        <f t="shared" si="88"/>
        <v>0</v>
      </c>
      <c r="G268" s="103">
        <f t="shared" si="88"/>
        <v>22800</v>
      </c>
      <c r="H268" s="106">
        <f t="shared" si="88"/>
        <v>0</v>
      </c>
      <c r="I268" s="106">
        <f t="shared" si="88"/>
        <v>0</v>
      </c>
      <c r="J268" s="103">
        <f t="shared" si="88"/>
        <v>0</v>
      </c>
      <c r="K268" s="103">
        <f t="shared" si="88"/>
        <v>0</v>
      </c>
      <c r="L268" s="103">
        <v>0</v>
      </c>
      <c r="M268" s="89">
        <v>0</v>
      </c>
      <c r="N268" s="103">
        <v>0</v>
      </c>
      <c r="O268" s="103">
        <v>0</v>
      </c>
      <c r="P268" s="81" t="s">
        <v>93</v>
      </c>
    </row>
    <row r="269" spans="1:16" s="23" customFormat="1" ht="79.5" customHeight="1" x14ac:dyDescent="0.3">
      <c r="A269" s="82"/>
      <c r="B269" s="101" t="s">
        <v>94</v>
      </c>
      <c r="C269" s="102"/>
      <c r="D269" s="104"/>
      <c r="E269" s="104"/>
      <c r="F269" s="104"/>
      <c r="G269" s="104"/>
      <c r="H269" s="107"/>
      <c r="I269" s="107"/>
      <c r="J269" s="104"/>
      <c r="K269" s="104"/>
      <c r="L269" s="104"/>
      <c r="M269" s="90"/>
      <c r="N269" s="104"/>
      <c r="O269" s="104"/>
      <c r="P269" s="82"/>
    </row>
    <row r="270" spans="1:16" s="23" customFormat="1" ht="16.8" x14ac:dyDescent="0.3">
      <c r="A270" s="24">
        <f>A268+1</f>
        <v>218</v>
      </c>
      <c r="B270" s="95" t="s">
        <v>27</v>
      </c>
      <c r="C270" s="96"/>
      <c r="D270" s="30">
        <f>SUM(E270:K270)</f>
        <v>0</v>
      </c>
      <c r="E270" s="31">
        <v>0</v>
      </c>
      <c r="F270" s="31">
        <v>0</v>
      </c>
      <c r="G270" s="31">
        <v>0</v>
      </c>
      <c r="H270" s="40">
        <v>0</v>
      </c>
      <c r="I270" s="40">
        <v>0</v>
      </c>
      <c r="J270" s="31">
        <v>0</v>
      </c>
      <c r="K270" s="31">
        <v>0</v>
      </c>
      <c r="L270" s="31">
        <v>0</v>
      </c>
      <c r="M270" s="32">
        <v>0</v>
      </c>
      <c r="N270" s="31">
        <v>0</v>
      </c>
      <c r="O270" s="31">
        <v>0</v>
      </c>
      <c r="P270" s="24" t="s">
        <v>25</v>
      </c>
    </row>
    <row r="271" spans="1:16" s="23" customFormat="1" ht="16.8" x14ac:dyDescent="0.3">
      <c r="A271" s="24">
        <f t="shared" ref="A271:A276" si="89">A270+1</f>
        <v>219</v>
      </c>
      <c r="B271" s="95" t="s">
        <v>28</v>
      </c>
      <c r="C271" s="96"/>
      <c r="D271" s="30">
        <f>SUM(E271:K271)</f>
        <v>0</v>
      </c>
      <c r="E271" s="31">
        <v>0</v>
      </c>
      <c r="F271" s="31">
        <v>0</v>
      </c>
      <c r="G271" s="31">
        <v>0</v>
      </c>
      <c r="H271" s="40">
        <v>0</v>
      </c>
      <c r="I271" s="40">
        <v>0</v>
      </c>
      <c r="J271" s="31">
        <v>0</v>
      </c>
      <c r="K271" s="31">
        <v>0</v>
      </c>
      <c r="L271" s="31">
        <v>0</v>
      </c>
      <c r="M271" s="32">
        <v>0</v>
      </c>
      <c r="N271" s="31">
        <v>0</v>
      </c>
      <c r="O271" s="31">
        <v>0</v>
      </c>
      <c r="P271" s="24" t="s">
        <v>25</v>
      </c>
    </row>
    <row r="272" spans="1:16" s="23" customFormat="1" ht="16.8" x14ac:dyDescent="0.3">
      <c r="A272" s="24">
        <f t="shared" si="89"/>
        <v>220</v>
      </c>
      <c r="B272" s="95" t="s">
        <v>29</v>
      </c>
      <c r="C272" s="96"/>
      <c r="D272" s="30">
        <f>SUM(E272:K272)</f>
        <v>22800</v>
      </c>
      <c r="E272" s="31">
        <v>0</v>
      </c>
      <c r="F272" s="31">
        <v>0</v>
      </c>
      <c r="G272" s="31">
        <v>22800</v>
      </c>
      <c r="H272" s="40">
        <v>0</v>
      </c>
      <c r="I272" s="40">
        <v>0</v>
      </c>
      <c r="J272" s="31">
        <v>0</v>
      </c>
      <c r="K272" s="31">
        <v>0</v>
      </c>
      <c r="L272" s="31">
        <v>0</v>
      </c>
      <c r="M272" s="32">
        <v>0</v>
      </c>
      <c r="N272" s="31">
        <v>0</v>
      </c>
      <c r="O272" s="31">
        <v>0</v>
      </c>
      <c r="P272" s="24" t="s">
        <v>25</v>
      </c>
    </row>
    <row r="273" spans="1:16" s="23" customFormat="1" ht="16.8" x14ac:dyDescent="0.3">
      <c r="A273" s="24">
        <f t="shared" si="89"/>
        <v>221</v>
      </c>
      <c r="B273" s="95" t="s">
        <v>30</v>
      </c>
      <c r="C273" s="96"/>
      <c r="D273" s="30">
        <f>SUM(E273:K273)</f>
        <v>0</v>
      </c>
      <c r="E273" s="31">
        <v>0</v>
      </c>
      <c r="F273" s="31">
        <v>0</v>
      </c>
      <c r="G273" s="31">
        <v>0</v>
      </c>
      <c r="H273" s="40">
        <v>0</v>
      </c>
      <c r="I273" s="40">
        <v>0</v>
      </c>
      <c r="J273" s="31">
        <v>0</v>
      </c>
      <c r="K273" s="31">
        <v>0</v>
      </c>
      <c r="L273" s="31">
        <v>0</v>
      </c>
      <c r="M273" s="32">
        <v>0</v>
      </c>
      <c r="N273" s="31">
        <v>0</v>
      </c>
      <c r="O273" s="31">
        <v>0</v>
      </c>
      <c r="P273" s="24" t="s">
        <v>25</v>
      </c>
    </row>
    <row r="274" spans="1:16" s="23" customFormat="1" ht="102.75" hidden="1" customHeight="1" x14ac:dyDescent="0.3">
      <c r="A274" s="24">
        <f t="shared" si="89"/>
        <v>222</v>
      </c>
      <c r="B274" s="74" t="s">
        <v>95</v>
      </c>
      <c r="C274" s="36"/>
      <c r="D274" s="36">
        <v>0</v>
      </c>
      <c r="E274" s="36">
        <v>0</v>
      </c>
      <c r="F274" s="36">
        <v>0</v>
      </c>
      <c r="G274" s="36">
        <v>0</v>
      </c>
      <c r="H274" s="57">
        <v>0</v>
      </c>
      <c r="I274" s="57">
        <v>0</v>
      </c>
      <c r="J274" s="75">
        <v>2647</v>
      </c>
      <c r="K274" s="24">
        <v>0</v>
      </c>
      <c r="L274" s="24"/>
      <c r="M274" s="26"/>
      <c r="N274" s="24"/>
      <c r="O274" s="24"/>
      <c r="P274" s="24" t="s">
        <v>32</v>
      </c>
    </row>
    <row r="275" spans="1:16" s="23" customFormat="1" ht="81.75" hidden="1" customHeight="1" x14ac:dyDescent="0.3">
      <c r="A275" s="24">
        <f t="shared" si="89"/>
        <v>223</v>
      </c>
      <c r="B275" s="76" t="s">
        <v>96</v>
      </c>
      <c r="C275" s="77"/>
      <c r="D275" s="77">
        <v>0</v>
      </c>
      <c r="E275" s="77">
        <v>0</v>
      </c>
      <c r="F275" s="77">
        <v>0</v>
      </c>
      <c r="G275" s="77">
        <v>0</v>
      </c>
      <c r="H275" s="78">
        <v>0</v>
      </c>
      <c r="I275" s="78">
        <v>0</v>
      </c>
      <c r="J275" s="79">
        <v>2647</v>
      </c>
      <c r="K275" s="77">
        <v>0</v>
      </c>
      <c r="L275" s="77"/>
      <c r="M275" s="80"/>
      <c r="N275" s="77"/>
      <c r="O275" s="77"/>
      <c r="P275" s="77" t="s">
        <v>32</v>
      </c>
    </row>
    <row r="276" spans="1:16" s="23" customFormat="1" ht="16.8" x14ac:dyDescent="0.3">
      <c r="A276" s="81">
        <f t="shared" si="89"/>
        <v>224</v>
      </c>
      <c r="B276" s="99" t="s">
        <v>97</v>
      </c>
      <c r="C276" s="100"/>
      <c r="D276" s="106">
        <f>SUM(E276:O277)</f>
        <v>197074</v>
      </c>
      <c r="E276" s="106">
        <f t="shared" ref="E276:O276" si="90">SUM(E278:E281)</f>
        <v>0</v>
      </c>
      <c r="F276" s="106">
        <f t="shared" si="90"/>
        <v>0</v>
      </c>
      <c r="G276" s="106">
        <f t="shared" si="90"/>
        <v>0</v>
      </c>
      <c r="H276" s="106">
        <f t="shared" si="90"/>
        <v>0</v>
      </c>
      <c r="I276" s="106">
        <f t="shared" si="90"/>
        <v>0</v>
      </c>
      <c r="J276" s="103">
        <f t="shared" si="90"/>
        <v>9000</v>
      </c>
      <c r="K276" s="103">
        <f t="shared" si="90"/>
        <v>34000</v>
      </c>
      <c r="L276" s="103">
        <f t="shared" si="90"/>
        <v>31000</v>
      </c>
      <c r="M276" s="89">
        <f t="shared" si="90"/>
        <v>40000</v>
      </c>
      <c r="N276" s="103">
        <f t="shared" si="90"/>
        <v>41262</v>
      </c>
      <c r="O276" s="103">
        <f t="shared" si="90"/>
        <v>41812</v>
      </c>
      <c r="P276" s="81" t="s">
        <v>93</v>
      </c>
    </row>
    <row r="277" spans="1:16" s="23" customFormat="1" ht="108.75" customHeight="1" x14ac:dyDescent="0.3">
      <c r="A277" s="82"/>
      <c r="B277" s="101" t="s">
        <v>98</v>
      </c>
      <c r="C277" s="102"/>
      <c r="D277" s="107"/>
      <c r="E277" s="107"/>
      <c r="F277" s="107"/>
      <c r="G277" s="107"/>
      <c r="H277" s="107"/>
      <c r="I277" s="107"/>
      <c r="J277" s="104"/>
      <c r="K277" s="104"/>
      <c r="L277" s="104"/>
      <c r="M277" s="90"/>
      <c r="N277" s="104"/>
      <c r="O277" s="104"/>
      <c r="P277" s="82"/>
    </row>
    <row r="278" spans="1:16" s="23" customFormat="1" ht="16.8" x14ac:dyDescent="0.3">
      <c r="A278" s="24">
        <f>A276+1</f>
        <v>225</v>
      </c>
      <c r="B278" s="95" t="s">
        <v>27</v>
      </c>
      <c r="C278" s="96"/>
      <c r="D278" s="39">
        <f>SUM(E278:O278)</f>
        <v>0</v>
      </c>
      <c r="E278" s="40">
        <v>0</v>
      </c>
      <c r="F278" s="40">
        <v>0</v>
      </c>
      <c r="G278" s="40">
        <v>0</v>
      </c>
      <c r="H278" s="40">
        <v>0</v>
      </c>
      <c r="I278" s="40">
        <v>0</v>
      </c>
      <c r="J278" s="31">
        <v>0</v>
      </c>
      <c r="K278" s="31">
        <v>0</v>
      </c>
      <c r="L278" s="31">
        <v>0</v>
      </c>
      <c r="M278" s="32">
        <v>0</v>
      </c>
      <c r="N278" s="31">
        <v>0</v>
      </c>
      <c r="O278" s="31">
        <v>0</v>
      </c>
      <c r="P278" s="24" t="s">
        <v>25</v>
      </c>
    </row>
    <row r="279" spans="1:16" s="23" customFormat="1" ht="16.8" x14ac:dyDescent="0.3">
      <c r="A279" s="24">
        <f>A278+1</f>
        <v>226</v>
      </c>
      <c r="B279" s="95" t="s">
        <v>28</v>
      </c>
      <c r="C279" s="96"/>
      <c r="D279" s="39">
        <f>SUM(E279:O279)</f>
        <v>4000</v>
      </c>
      <c r="E279" s="40">
        <v>0</v>
      </c>
      <c r="F279" s="40">
        <v>0</v>
      </c>
      <c r="G279" s="40">
        <v>0</v>
      </c>
      <c r="H279" s="40">
        <v>0</v>
      </c>
      <c r="I279" s="40">
        <v>0</v>
      </c>
      <c r="J279" s="31">
        <v>4000</v>
      </c>
      <c r="K279" s="31">
        <v>0</v>
      </c>
      <c r="L279" s="31">
        <v>0</v>
      </c>
      <c r="M279" s="32">
        <v>0</v>
      </c>
      <c r="N279" s="31">
        <v>0</v>
      </c>
      <c r="O279" s="31">
        <v>0</v>
      </c>
      <c r="P279" s="24" t="s">
        <v>25</v>
      </c>
    </row>
    <row r="280" spans="1:16" s="23" customFormat="1" ht="16.8" x14ac:dyDescent="0.3">
      <c r="A280" s="24">
        <f>A279+1</f>
        <v>227</v>
      </c>
      <c r="B280" s="95" t="s">
        <v>29</v>
      </c>
      <c r="C280" s="96"/>
      <c r="D280" s="39">
        <f>SUM(E280:O280)</f>
        <v>193074</v>
      </c>
      <c r="E280" s="40">
        <v>0</v>
      </c>
      <c r="F280" s="40">
        <v>0</v>
      </c>
      <c r="G280" s="40">
        <v>0</v>
      </c>
      <c r="H280" s="40">
        <v>0</v>
      </c>
      <c r="I280" s="40">
        <v>0</v>
      </c>
      <c r="J280" s="31">
        <v>5000</v>
      </c>
      <c r="K280" s="31">
        <v>34000</v>
      </c>
      <c r="L280" s="31">
        <v>31000</v>
      </c>
      <c r="M280" s="32">
        <v>40000</v>
      </c>
      <c r="N280" s="31">
        <v>41262</v>
      </c>
      <c r="O280" s="31">
        <v>41812</v>
      </c>
      <c r="P280" s="24" t="s">
        <v>25</v>
      </c>
    </row>
    <row r="281" spans="1:16" s="23" customFormat="1" ht="16.8" x14ac:dyDescent="0.3">
      <c r="A281" s="24">
        <f>A280+1</f>
        <v>228</v>
      </c>
      <c r="B281" s="95" t="s">
        <v>30</v>
      </c>
      <c r="C281" s="96"/>
      <c r="D281" s="39">
        <f>SUM(E281:O281)</f>
        <v>0</v>
      </c>
      <c r="E281" s="31">
        <v>0</v>
      </c>
      <c r="F281" s="31">
        <v>0</v>
      </c>
      <c r="G281" s="31">
        <v>0</v>
      </c>
      <c r="H281" s="40">
        <v>0</v>
      </c>
      <c r="I281" s="40">
        <v>0</v>
      </c>
      <c r="J281" s="31">
        <v>0</v>
      </c>
      <c r="K281" s="31">
        <v>0</v>
      </c>
      <c r="L281" s="31">
        <v>0</v>
      </c>
      <c r="M281" s="32">
        <v>0</v>
      </c>
      <c r="N281" s="31">
        <v>0</v>
      </c>
      <c r="O281" s="31">
        <v>0</v>
      </c>
      <c r="P281" s="24" t="s">
        <v>25</v>
      </c>
    </row>
    <row r="282" spans="1:16" s="23" customFormat="1" ht="23.25" customHeight="1" x14ac:dyDescent="0.3">
      <c r="A282" s="135" t="s">
        <v>99</v>
      </c>
      <c r="B282" s="13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7"/>
    </row>
    <row r="283" spans="1:16" s="23" customFormat="1" ht="67.5" customHeight="1" x14ac:dyDescent="0.3">
      <c r="A283" s="24">
        <f>A281+1</f>
        <v>229</v>
      </c>
      <c r="B283" s="97" t="s">
        <v>100</v>
      </c>
      <c r="C283" s="98"/>
      <c r="D283" s="30">
        <f>SUM(E283:O283)</f>
        <v>45000</v>
      </c>
      <c r="E283" s="30">
        <f t="shared" ref="E283:O283" si="91">SUM(E284:E287)</f>
        <v>0</v>
      </c>
      <c r="F283" s="30">
        <f t="shared" si="91"/>
        <v>0</v>
      </c>
      <c r="G283" s="30">
        <f t="shared" si="91"/>
        <v>0</v>
      </c>
      <c r="H283" s="39">
        <f t="shared" si="91"/>
        <v>0</v>
      </c>
      <c r="I283" s="39">
        <f t="shared" si="91"/>
        <v>0</v>
      </c>
      <c r="J283" s="30">
        <f t="shared" si="91"/>
        <v>0</v>
      </c>
      <c r="K283" s="30">
        <f t="shared" si="91"/>
        <v>0</v>
      </c>
      <c r="L283" s="30">
        <f t="shared" si="91"/>
        <v>0</v>
      </c>
      <c r="M283" s="37">
        <f t="shared" si="91"/>
        <v>45000</v>
      </c>
      <c r="N283" s="30">
        <f t="shared" si="91"/>
        <v>0</v>
      </c>
      <c r="O283" s="30">
        <f t="shared" si="91"/>
        <v>0</v>
      </c>
      <c r="P283" s="24" t="s">
        <v>32</v>
      </c>
    </row>
    <row r="284" spans="1:16" s="23" customFormat="1" ht="16.8" x14ac:dyDescent="0.3">
      <c r="A284" s="24">
        <f>A283+1</f>
        <v>230</v>
      </c>
      <c r="B284" s="95" t="s">
        <v>27</v>
      </c>
      <c r="C284" s="96"/>
      <c r="D284" s="30">
        <f>SUM(E284:O284)</f>
        <v>0</v>
      </c>
      <c r="E284" s="31">
        <f t="shared" ref="E284:K287" si="92">E290</f>
        <v>0</v>
      </c>
      <c r="F284" s="31">
        <f t="shared" si="92"/>
        <v>0</v>
      </c>
      <c r="G284" s="31">
        <f t="shared" si="92"/>
        <v>0</v>
      </c>
      <c r="H284" s="40">
        <f t="shared" si="92"/>
        <v>0</v>
      </c>
      <c r="I284" s="40">
        <f t="shared" si="92"/>
        <v>0</v>
      </c>
      <c r="J284" s="31">
        <f t="shared" si="92"/>
        <v>0</v>
      </c>
      <c r="K284" s="31">
        <f t="shared" si="92"/>
        <v>0</v>
      </c>
      <c r="L284" s="31">
        <v>0</v>
      </c>
      <c r="M284" s="32">
        <v>0</v>
      </c>
      <c r="N284" s="31">
        <v>0</v>
      </c>
      <c r="O284" s="31">
        <v>0</v>
      </c>
      <c r="P284" s="24" t="s">
        <v>32</v>
      </c>
    </row>
    <row r="285" spans="1:16" s="23" customFormat="1" ht="16.8" x14ac:dyDescent="0.3">
      <c r="A285" s="24">
        <f>A284+1</f>
        <v>231</v>
      </c>
      <c r="B285" s="95" t="s">
        <v>28</v>
      </c>
      <c r="C285" s="96"/>
      <c r="D285" s="30">
        <f>SUM(E285:O285)</f>
        <v>0</v>
      </c>
      <c r="E285" s="31">
        <f t="shared" si="92"/>
        <v>0</v>
      </c>
      <c r="F285" s="31">
        <f t="shared" si="92"/>
        <v>0</v>
      </c>
      <c r="G285" s="31">
        <f t="shared" si="92"/>
        <v>0</v>
      </c>
      <c r="H285" s="40">
        <f t="shared" si="92"/>
        <v>0</v>
      </c>
      <c r="I285" s="40">
        <f t="shared" si="92"/>
        <v>0</v>
      </c>
      <c r="J285" s="31">
        <f t="shared" si="92"/>
        <v>0</v>
      </c>
      <c r="K285" s="31">
        <f t="shared" si="92"/>
        <v>0</v>
      </c>
      <c r="L285" s="31">
        <v>0</v>
      </c>
      <c r="M285" s="32">
        <v>0</v>
      </c>
      <c r="N285" s="31">
        <v>0</v>
      </c>
      <c r="O285" s="31">
        <v>0</v>
      </c>
      <c r="P285" s="24" t="s">
        <v>32</v>
      </c>
    </row>
    <row r="286" spans="1:16" s="23" customFormat="1" ht="16.8" x14ac:dyDescent="0.3">
      <c r="A286" s="24">
        <f>A285+1</f>
        <v>232</v>
      </c>
      <c r="B286" s="95" t="s">
        <v>29</v>
      </c>
      <c r="C286" s="96"/>
      <c r="D286" s="30">
        <f>SUM(E286:O286)</f>
        <v>45000</v>
      </c>
      <c r="E286" s="31">
        <f t="shared" si="92"/>
        <v>0</v>
      </c>
      <c r="F286" s="31">
        <f t="shared" si="92"/>
        <v>0</v>
      </c>
      <c r="G286" s="31">
        <f t="shared" si="92"/>
        <v>0</v>
      </c>
      <c r="H286" s="40">
        <f t="shared" si="92"/>
        <v>0</v>
      </c>
      <c r="I286" s="40">
        <f t="shared" si="92"/>
        <v>0</v>
      </c>
      <c r="J286" s="31">
        <f t="shared" si="92"/>
        <v>0</v>
      </c>
      <c r="K286" s="31">
        <f t="shared" si="92"/>
        <v>0</v>
      </c>
      <c r="L286" s="31">
        <f>L292</f>
        <v>0</v>
      </c>
      <c r="M286" s="32">
        <f>M292</f>
        <v>45000</v>
      </c>
      <c r="N286" s="31">
        <f>N292</f>
        <v>0</v>
      </c>
      <c r="O286" s="31">
        <f>O292</f>
        <v>0</v>
      </c>
      <c r="P286" s="24" t="s">
        <v>32</v>
      </c>
    </row>
    <row r="287" spans="1:16" s="23" customFormat="1" ht="16.8" x14ac:dyDescent="0.3">
      <c r="A287" s="24">
        <f>A286+1</f>
        <v>233</v>
      </c>
      <c r="B287" s="95" t="s">
        <v>30</v>
      </c>
      <c r="C287" s="96"/>
      <c r="D287" s="30">
        <f>SUM(E287:K287)</f>
        <v>0</v>
      </c>
      <c r="E287" s="31">
        <f t="shared" si="92"/>
        <v>0</v>
      </c>
      <c r="F287" s="31">
        <f t="shared" si="92"/>
        <v>0</v>
      </c>
      <c r="G287" s="31">
        <f t="shared" si="92"/>
        <v>0</v>
      </c>
      <c r="H287" s="40">
        <f t="shared" si="92"/>
        <v>0</v>
      </c>
      <c r="I287" s="40">
        <f t="shared" si="92"/>
        <v>0</v>
      </c>
      <c r="J287" s="31">
        <f t="shared" si="92"/>
        <v>0</v>
      </c>
      <c r="K287" s="31">
        <f t="shared" si="92"/>
        <v>0</v>
      </c>
      <c r="L287" s="31">
        <v>0</v>
      </c>
      <c r="M287" s="32">
        <v>0</v>
      </c>
      <c r="N287" s="31">
        <v>0</v>
      </c>
      <c r="O287" s="31">
        <v>0</v>
      </c>
      <c r="P287" s="24" t="s">
        <v>32</v>
      </c>
    </row>
    <row r="288" spans="1:16" s="23" customFormat="1" ht="24.75" customHeight="1" x14ac:dyDescent="0.3">
      <c r="A288" s="97" t="s">
        <v>31</v>
      </c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98"/>
    </row>
    <row r="289" spans="1:16" s="23" customFormat="1" ht="16.8" x14ac:dyDescent="0.3">
      <c r="A289" s="24">
        <f>A287+1</f>
        <v>234</v>
      </c>
      <c r="B289" s="97" t="s">
        <v>31</v>
      </c>
      <c r="C289" s="98"/>
      <c r="D289" s="30">
        <f>SUM(E289:O289)</f>
        <v>45000</v>
      </c>
      <c r="E289" s="30">
        <f t="shared" ref="E289:O289" si="93">SUM(E290:E293)</f>
        <v>0</v>
      </c>
      <c r="F289" s="30">
        <f t="shared" si="93"/>
        <v>0</v>
      </c>
      <c r="G289" s="30">
        <f t="shared" si="93"/>
        <v>0</v>
      </c>
      <c r="H289" s="39">
        <f t="shared" si="93"/>
        <v>0</v>
      </c>
      <c r="I289" s="39">
        <f t="shared" si="93"/>
        <v>0</v>
      </c>
      <c r="J289" s="30">
        <f t="shared" si="93"/>
        <v>0</v>
      </c>
      <c r="K289" s="30">
        <f t="shared" si="93"/>
        <v>0</v>
      </c>
      <c r="L289" s="30">
        <f t="shared" si="93"/>
        <v>0</v>
      </c>
      <c r="M289" s="37">
        <f t="shared" si="93"/>
        <v>45000</v>
      </c>
      <c r="N289" s="30">
        <f t="shared" si="93"/>
        <v>0</v>
      </c>
      <c r="O289" s="30">
        <f t="shared" si="93"/>
        <v>0</v>
      </c>
      <c r="P289" s="24" t="s">
        <v>32</v>
      </c>
    </row>
    <row r="290" spans="1:16" s="23" customFormat="1" ht="16.8" x14ac:dyDescent="0.3">
      <c r="A290" s="24">
        <f>A289+1</f>
        <v>235</v>
      </c>
      <c r="B290" s="95" t="s">
        <v>27</v>
      </c>
      <c r="C290" s="96"/>
      <c r="D290" s="30">
        <f>SUM(E290:K290)</f>
        <v>0</v>
      </c>
      <c r="E290" s="31">
        <f t="shared" ref="E290:K293" si="94">E296</f>
        <v>0</v>
      </c>
      <c r="F290" s="31">
        <f t="shared" si="94"/>
        <v>0</v>
      </c>
      <c r="G290" s="31">
        <f t="shared" si="94"/>
        <v>0</v>
      </c>
      <c r="H290" s="40">
        <f t="shared" si="94"/>
        <v>0</v>
      </c>
      <c r="I290" s="40">
        <f t="shared" si="94"/>
        <v>0</v>
      </c>
      <c r="J290" s="31">
        <f t="shared" si="94"/>
        <v>0</v>
      </c>
      <c r="K290" s="31">
        <f t="shared" si="94"/>
        <v>0</v>
      </c>
      <c r="L290" s="31">
        <v>0</v>
      </c>
      <c r="M290" s="32">
        <v>0</v>
      </c>
      <c r="N290" s="31">
        <v>0</v>
      </c>
      <c r="O290" s="31">
        <v>0</v>
      </c>
      <c r="P290" s="24" t="s">
        <v>32</v>
      </c>
    </row>
    <row r="291" spans="1:16" s="23" customFormat="1" ht="16.8" x14ac:dyDescent="0.3">
      <c r="A291" s="24">
        <f>A290+1</f>
        <v>236</v>
      </c>
      <c r="B291" s="95" t="s">
        <v>28</v>
      </c>
      <c r="C291" s="96"/>
      <c r="D291" s="30">
        <f>SUM(E291:O291)</f>
        <v>0</v>
      </c>
      <c r="E291" s="31">
        <f t="shared" si="94"/>
        <v>0</v>
      </c>
      <c r="F291" s="31">
        <f t="shared" si="94"/>
        <v>0</v>
      </c>
      <c r="G291" s="31">
        <f t="shared" si="94"/>
        <v>0</v>
      </c>
      <c r="H291" s="40">
        <f t="shared" si="94"/>
        <v>0</v>
      </c>
      <c r="I291" s="40">
        <f t="shared" si="94"/>
        <v>0</v>
      </c>
      <c r="J291" s="31">
        <f t="shared" si="94"/>
        <v>0</v>
      </c>
      <c r="K291" s="31">
        <f t="shared" si="94"/>
        <v>0</v>
      </c>
      <c r="L291" s="31">
        <v>0</v>
      </c>
      <c r="M291" s="32">
        <v>0</v>
      </c>
      <c r="N291" s="31">
        <v>0</v>
      </c>
      <c r="O291" s="31">
        <v>0</v>
      </c>
      <c r="P291" s="24" t="s">
        <v>32</v>
      </c>
    </row>
    <row r="292" spans="1:16" s="23" customFormat="1" ht="16.8" x14ac:dyDescent="0.3">
      <c r="A292" s="24">
        <f>A291+1</f>
        <v>237</v>
      </c>
      <c r="B292" s="95" t="s">
        <v>29</v>
      </c>
      <c r="C292" s="96"/>
      <c r="D292" s="30">
        <f>SUM(E292:O292)</f>
        <v>45000</v>
      </c>
      <c r="E292" s="31">
        <f t="shared" si="94"/>
        <v>0</v>
      </c>
      <c r="F292" s="31">
        <f t="shared" si="94"/>
        <v>0</v>
      </c>
      <c r="G292" s="31">
        <f t="shared" si="94"/>
        <v>0</v>
      </c>
      <c r="H292" s="40">
        <f t="shared" si="94"/>
        <v>0</v>
      </c>
      <c r="I292" s="40">
        <f t="shared" si="94"/>
        <v>0</v>
      </c>
      <c r="J292" s="31">
        <f t="shared" si="94"/>
        <v>0</v>
      </c>
      <c r="K292" s="31">
        <f t="shared" si="94"/>
        <v>0</v>
      </c>
      <c r="L292" s="31">
        <f>L298</f>
        <v>0</v>
      </c>
      <c r="M292" s="32">
        <f>M298</f>
        <v>45000</v>
      </c>
      <c r="N292" s="31">
        <f>N298</f>
        <v>0</v>
      </c>
      <c r="O292" s="31">
        <f>O298</f>
        <v>0</v>
      </c>
      <c r="P292" s="24" t="s">
        <v>32</v>
      </c>
    </row>
    <row r="293" spans="1:16" s="23" customFormat="1" ht="16.8" x14ac:dyDescent="0.3">
      <c r="A293" s="24">
        <f>A292+1</f>
        <v>238</v>
      </c>
      <c r="B293" s="91" t="s">
        <v>30</v>
      </c>
      <c r="C293" s="92"/>
      <c r="D293" s="30">
        <f>SUM(E293:K293)</f>
        <v>0</v>
      </c>
      <c r="E293" s="31">
        <f t="shared" si="94"/>
        <v>0</v>
      </c>
      <c r="F293" s="31">
        <f t="shared" si="94"/>
        <v>0</v>
      </c>
      <c r="G293" s="31">
        <f t="shared" si="94"/>
        <v>0</v>
      </c>
      <c r="H293" s="40">
        <f t="shared" si="94"/>
        <v>0</v>
      </c>
      <c r="I293" s="40">
        <f t="shared" si="94"/>
        <v>0</v>
      </c>
      <c r="J293" s="31">
        <f t="shared" si="94"/>
        <v>0</v>
      </c>
      <c r="K293" s="31">
        <f t="shared" si="94"/>
        <v>0</v>
      </c>
      <c r="L293" s="31">
        <v>0</v>
      </c>
      <c r="M293" s="32">
        <v>0</v>
      </c>
      <c r="N293" s="31">
        <v>0</v>
      </c>
      <c r="O293" s="31">
        <v>0</v>
      </c>
      <c r="P293" s="24" t="s">
        <v>32</v>
      </c>
    </row>
    <row r="294" spans="1:16" s="23" customFormat="1" ht="16.8" x14ac:dyDescent="0.3">
      <c r="A294" s="81">
        <f>A293+1</f>
        <v>239</v>
      </c>
      <c r="B294" s="99" t="s">
        <v>52</v>
      </c>
      <c r="C294" s="100"/>
      <c r="D294" s="103">
        <f>SUM(E294:O295)</f>
        <v>45000</v>
      </c>
      <c r="E294" s="103">
        <f t="shared" ref="E294:O294" si="95">SUM(E296:E299)</f>
        <v>0</v>
      </c>
      <c r="F294" s="103">
        <f t="shared" si="95"/>
        <v>0</v>
      </c>
      <c r="G294" s="103">
        <f t="shared" si="95"/>
        <v>0</v>
      </c>
      <c r="H294" s="106">
        <f t="shared" si="95"/>
        <v>0</v>
      </c>
      <c r="I294" s="106">
        <f t="shared" si="95"/>
        <v>0</v>
      </c>
      <c r="J294" s="103">
        <f t="shared" si="95"/>
        <v>0</v>
      </c>
      <c r="K294" s="103">
        <f t="shared" si="95"/>
        <v>0</v>
      </c>
      <c r="L294" s="103">
        <f t="shared" si="95"/>
        <v>0</v>
      </c>
      <c r="M294" s="89">
        <f t="shared" si="95"/>
        <v>45000</v>
      </c>
      <c r="N294" s="103">
        <f t="shared" si="95"/>
        <v>0</v>
      </c>
      <c r="O294" s="103">
        <f t="shared" si="95"/>
        <v>0</v>
      </c>
      <c r="P294" s="81">
        <v>67</v>
      </c>
    </row>
    <row r="295" spans="1:16" s="23" customFormat="1" ht="128.25" customHeight="1" x14ac:dyDescent="0.3">
      <c r="A295" s="82"/>
      <c r="B295" s="101" t="s">
        <v>101</v>
      </c>
      <c r="C295" s="102"/>
      <c r="D295" s="104"/>
      <c r="E295" s="104"/>
      <c r="F295" s="104"/>
      <c r="G295" s="104"/>
      <c r="H295" s="107"/>
      <c r="I295" s="107"/>
      <c r="J295" s="104"/>
      <c r="K295" s="104"/>
      <c r="L295" s="104"/>
      <c r="M295" s="90"/>
      <c r="N295" s="104"/>
      <c r="O295" s="104"/>
      <c r="P295" s="82"/>
    </row>
    <row r="296" spans="1:16" s="23" customFormat="1" ht="16.8" x14ac:dyDescent="0.3">
      <c r="A296" s="24">
        <f>A294+1</f>
        <v>240</v>
      </c>
      <c r="B296" s="93" t="s">
        <v>27</v>
      </c>
      <c r="C296" s="94"/>
      <c r="D296" s="30">
        <f>SUM(E296:O296)</f>
        <v>0</v>
      </c>
      <c r="E296" s="31">
        <v>0</v>
      </c>
      <c r="F296" s="31">
        <v>0</v>
      </c>
      <c r="G296" s="31">
        <v>0</v>
      </c>
      <c r="H296" s="40">
        <v>0</v>
      </c>
      <c r="I296" s="40">
        <v>0</v>
      </c>
      <c r="J296" s="31">
        <v>0</v>
      </c>
      <c r="K296" s="31">
        <v>0</v>
      </c>
      <c r="L296" s="31">
        <v>0</v>
      </c>
      <c r="M296" s="32">
        <v>0</v>
      </c>
      <c r="N296" s="31">
        <v>0</v>
      </c>
      <c r="O296" s="31">
        <v>0</v>
      </c>
      <c r="P296" s="24" t="s">
        <v>32</v>
      </c>
    </row>
    <row r="297" spans="1:16" s="48" customFormat="1" ht="16.8" x14ac:dyDescent="0.3">
      <c r="A297" s="24">
        <f>A296+1</f>
        <v>241</v>
      </c>
      <c r="B297" s="95" t="s">
        <v>28</v>
      </c>
      <c r="C297" s="96"/>
      <c r="D297" s="30">
        <f>SUM(E297:O297)</f>
        <v>0</v>
      </c>
      <c r="E297" s="31">
        <v>0</v>
      </c>
      <c r="F297" s="31">
        <v>0</v>
      </c>
      <c r="G297" s="31">
        <v>0</v>
      </c>
      <c r="H297" s="40">
        <v>0</v>
      </c>
      <c r="I297" s="40">
        <v>0</v>
      </c>
      <c r="J297" s="31">
        <v>0</v>
      </c>
      <c r="K297" s="31">
        <v>0</v>
      </c>
      <c r="L297" s="31">
        <v>0</v>
      </c>
      <c r="M297" s="32">
        <v>0</v>
      </c>
      <c r="N297" s="31">
        <v>0</v>
      </c>
      <c r="O297" s="31">
        <v>0</v>
      </c>
      <c r="P297" s="24" t="s">
        <v>32</v>
      </c>
    </row>
    <row r="298" spans="1:16" s="23" customFormat="1" ht="16.8" x14ac:dyDescent="0.3">
      <c r="A298" s="24">
        <f>A297+1</f>
        <v>242</v>
      </c>
      <c r="B298" s="95" t="s">
        <v>29</v>
      </c>
      <c r="C298" s="96"/>
      <c r="D298" s="30">
        <f>SUM(E298:O298)</f>
        <v>45000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2">
        <v>45000</v>
      </c>
      <c r="N298" s="31">
        <v>0</v>
      </c>
      <c r="O298" s="31">
        <v>0</v>
      </c>
      <c r="P298" s="24" t="s">
        <v>32</v>
      </c>
    </row>
    <row r="299" spans="1:16" s="23" customFormat="1" ht="16.8" x14ac:dyDescent="0.3">
      <c r="A299" s="24">
        <f>A298+1</f>
        <v>243</v>
      </c>
      <c r="B299" s="95" t="s">
        <v>30</v>
      </c>
      <c r="C299" s="96"/>
      <c r="D299" s="30">
        <f>SUM(E299:O299)</f>
        <v>0</v>
      </c>
      <c r="E299" s="31">
        <v>0</v>
      </c>
      <c r="F299" s="31">
        <v>0</v>
      </c>
      <c r="G299" s="31">
        <v>0</v>
      </c>
      <c r="H299" s="40">
        <v>0</v>
      </c>
      <c r="I299" s="40">
        <v>0</v>
      </c>
      <c r="J299" s="31">
        <v>0</v>
      </c>
      <c r="K299" s="31">
        <v>0</v>
      </c>
      <c r="L299" s="31">
        <v>0</v>
      </c>
      <c r="M299" s="32">
        <v>0</v>
      </c>
      <c r="N299" s="31">
        <v>0</v>
      </c>
      <c r="O299" s="31">
        <v>0</v>
      </c>
      <c r="P299" s="24" t="s">
        <v>32</v>
      </c>
    </row>
    <row r="300" spans="1:16" s="23" customFormat="1" ht="23.25" customHeight="1" x14ac:dyDescent="0.3">
      <c r="A300" s="135" t="s">
        <v>102</v>
      </c>
      <c r="B300" s="13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7"/>
    </row>
    <row r="301" spans="1:16" s="23" customFormat="1" ht="67.5" customHeight="1" x14ac:dyDescent="0.3">
      <c r="A301" s="24">
        <f>A299+1</f>
        <v>244</v>
      </c>
      <c r="B301" s="97" t="s">
        <v>103</v>
      </c>
      <c r="C301" s="98"/>
      <c r="D301" s="30">
        <f>SUM(E301:O301)</f>
        <v>0</v>
      </c>
      <c r="E301" s="30">
        <f t="shared" ref="E301:O301" si="96">SUM(E302:E305)</f>
        <v>0</v>
      </c>
      <c r="F301" s="30">
        <f t="shared" si="96"/>
        <v>0</v>
      </c>
      <c r="G301" s="30">
        <f t="shared" si="96"/>
        <v>0</v>
      </c>
      <c r="H301" s="39">
        <f t="shared" si="96"/>
        <v>0</v>
      </c>
      <c r="I301" s="39">
        <f t="shared" si="96"/>
        <v>0</v>
      </c>
      <c r="J301" s="30">
        <f t="shared" si="96"/>
        <v>0</v>
      </c>
      <c r="K301" s="30">
        <f t="shared" si="96"/>
        <v>0</v>
      </c>
      <c r="L301" s="30">
        <f t="shared" si="96"/>
        <v>0</v>
      </c>
      <c r="M301" s="37">
        <f t="shared" si="96"/>
        <v>0</v>
      </c>
      <c r="N301" s="30">
        <f t="shared" si="96"/>
        <v>0</v>
      </c>
      <c r="O301" s="30">
        <f t="shared" si="96"/>
        <v>0</v>
      </c>
      <c r="P301" s="24" t="s">
        <v>32</v>
      </c>
    </row>
    <row r="302" spans="1:16" s="23" customFormat="1" ht="16.8" x14ac:dyDescent="0.3">
      <c r="A302" s="24">
        <f>A301+1</f>
        <v>245</v>
      </c>
      <c r="B302" s="95" t="s">
        <v>27</v>
      </c>
      <c r="C302" s="96"/>
      <c r="D302" s="30">
        <f>SUM(E302:O302)</f>
        <v>0</v>
      </c>
      <c r="E302" s="31">
        <f t="shared" ref="E302:K305" si="97">E308</f>
        <v>0</v>
      </c>
      <c r="F302" s="31">
        <f t="shared" si="97"/>
        <v>0</v>
      </c>
      <c r="G302" s="31">
        <f t="shared" si="97"/>
        <v>0</v>
      </c>
      <c r="H302" s="40">
        <f t="shared" si="97"/>
        <v>0</v>
      </c>
      <c r="I302" s="40">
        <f t="shared" si="97"/>
        <v>0</v>
      </c>
      <c r="J302" s="31">
        <f t="shared" si="97"/>
        <v>0</v>
      </c>
      <c r="K302" s="31">
        <f t="shared" si="97"/>
        <v>0</v>
      </c>
      <c r="L302" s="31">
        <v>0</v>
      </c>
      <c r="M302" s="32">
        <v>0</v>
      </c>
      <c r="N302" s="31">
        <v>0</v>
      </c>
      <c r="O302" s="31">
        <v>0</v>
      </c>
      <c r="P302" s="24" t="s">
        <v>32</v>
      </c>
    </row>
    <row r="303" spans="1:16" s="23" customFormat="1" ht="16.8" x14ac:dyDescent="0.3">
      <c r="A303" s="24">
        <f>A302+1</f>
        <v>246</v>
      </c>
      <c r="B303" s="95" t="s">
        <v>28</v>
      </c>
      <c r="C303" s="96"/>
      <c r="D303" s="30">
        <f>SUM(E303:O303)</f>
        <v>0</v>
      </c>
      <c r="E303" s="31">
        <f t="shared" si="97"/>
        <v>0</v>
      </c>
      <c r="F303" s="31">
        <f t="shared" si="97"/>
        <v>0</v>
      </c>
      <c r="G303" s="31">
        <f t="shared" si="97"/>
        <v>0</v>
      </c>
      <c r="H303" s="40">
        <f t="shared" si="97"/>
        <v>0</v>
      </c>
      <c r="I303" s="40">
        <f t="shared" si="97"/>
        <v>0</v>
      </c>
      <c r="J303" s="31">
        <f t="shared" si="97"/>
        <v>0</v>
      </c>
      <c r="K303" s="31">
        <f t="shared" si="97"/>
        <v>0</v>
      </c>
      <c r="L303" s="31">
        <v>0</v>
      </c>
      <c r="M303" s="32">
        <v>0</v>
      </c>
      <c r="N303" s="31">
        <v>0</v>
      </c>
      <c r="O303" s="31">
        <v>0</v>
      </c>
      <c r="P303" s="24" t="s">
        <v>32</v>
      </c>
    </row>
    <row r="304" spans="1:16" s="23" customFormat="1" ht="16.8" x14ac:dyDescent="0.3">
      <c r="A304" s="24">
        <f>A303+1</f>
        <v>247</v>
      </c>
      <c r="B304" s="95" t="s">
        <v>29</v>
      </c>
      <c r="C304" s="96"/>
      <c r="D304" s="30">
        <f>SUM(E304:O304)</f>
        <v>0</v>
      </c>
      <c r="E304" s="31">
        <f t="shared" si="97"/>
        <v>0</v>
      </c>
      <c r="F304" s="31">
        <f t="shared" si="97"/>
        <v>0</v>
      </c>
      <c r="G304" s="31">
        <f t="shared" si="97"/>
        <v>0</v>
      </c>
      <c r="H304" s="40">
        <f t="shared" si="97"/>
        <v>0</v>
      </c>
      <c r="I304" s="40">
        <f t="shared" si="97"/>
        <v>0</v>
      </c>
      <c r="J304" s="31">
        <f t="shared" si="97"/>
        <v>0</v>
      </c>
      <c r="K304" s="31">
        <f t="shared" si="97"/>
        <v>0</v>
      </c>
      <c r="L304" s="31">
        <f>L310</f>
        <v>0</v>
      </c>
      <c r="M304" s="32">
        <f>M310</f>
        <v>0</v>
      </c>
      <c r="N304" s="31">
        <f>N310</f>
        <v>0</v>
      </c>
      <c r="O304" s="31">
        <f>O310</f>
        <v>0</v>
      </c>
      <c r="P304" s="24" t="s">
        <v>32</v>
      </c>
    </row>
    <row r="305" spans="1:16" s="23" customFormat="1" ht="16.8" x14ac:dyDescent="0.3">
      <c r="A305" s="24">
        <f>A304+1</f>
        <v>248</v>
      </c>
      <c r="B305" s="95" t="s">
        <v>30</v>
      </c>
      <c r="C305" s="96"/>
      <c r="D305" s="30">
        <f>SUM(E305:K305)</f>
        <v>0</v>
      </c>
      <c r="E305" s="31">
        <f t="shared" si="97"/>
        <v>0</v>
      </c>
      <c r="F305" s="31">
        <f t="shared" si="97"/>
        <v>0</v>
      </c>
      <c r="G305" s="31">
        <f t="shared" si="97"/>
        <v>0</v>
      </c>
      <c r="H305" s="40">
        <f t="shared" si="97"/>
        <v>0</v>
      </c>
      <c r="I305" s="40">
        <f t="shared" si="97"/>
        <v>0</v>
      </c>
      <c r="J305" s="31">
        <f t="shared" si="97"/>
        <v>0</v>
      </c>
      <c r="K305" s="31">
        <f t="shared" si="97"/>
        <v>0</v>
      </c>
      <c r="L305" s="31">
        <v>0</v>
      </c>
      <c r="M305" s="32">
        <v>0</v>
      </c>
      <c r="N305" s="31">
        <v>0</v>
      </c>
      <c r="O305" s="31">
        <v>0</v>
      </c>
      <c r="P305" s="24" t="s">
        <v>32</v>
      </c>
    </row>
    <row r="306" spans="1:16" s="23" customFormat="1" ht="24.75" customHeight="1" x14ac:dyDescent="0.3">
      <c r="A306" s="97" t="s">
        <v>31</v>
      </c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98"/>
    </row>
    <row r="307" spans="1:16" s="23" customFormat="1" ht="16.8" x14ac:dyDescent="0.3">
      <c r="A307" s="24">
        <f>A305+1</f>
        <v>249</v>
      </c>
      <c r="B307" s="97" t="s">
        <v>31</v>
      </c>
      <c r="C307" s="98"/>
      <c r="D307" s="30">
        <f>SUM(E307:O307)</f>
        <v>0</v>
      </c>
      <c r="E307" s="30">
        <f t="shared" ref="E307:O307" si="98">SUM(E308:E311)</f>
        <v>0</v>
      </c>
      <c r="F307" s="30">
        <f t="shared" si="98"/>
        <v>0</v>
      </c>
      <c r="G307" s="30">
        <f t="shared" si="98"/>
        <v>0</v>
      </c>
      <c r="H307" s="39">
        <f t="shared" si="98"/>
        <v>0</v>
      </c>
      <c r="I307" s="39">
        <f t="shared" si="98"/>
        <v>0</v>
      </c>
      <c r="J307" s="30">
        <f t="shared" si="98"/>
        <v>0</v>
      </c>
      <c r="K307" s="30">
        <f t="shared" si="98"/>
        <v>0</v>
      </c>
      <c r="L307" s="30">
        <f t="shared" si="98"/>
        <v>0</v>
      </c>
      <c r="M307" s="37">
        <f t="shared" si="98"/>
        <v>0</v>
      </c>
      <c r="N307" s="30">
        <f t="shared" si="98"/>
        <v>0</v>
      </c>
      <c r="O307" s="30">
        <f t="shared" si="98"/>
        <v>0</v>
      </c>
      <c r="P307" s="24" t="s">
        <v>32</v>
      </c>
    </row>
    <row r="308" spans="1:16" s="23" customFormat="1" ht="16.8" x14ac:dyDescent="0.3">
      <c r="A308" s="24">
        <f>A307+1</f>
        <v>250</v>
      </c>
      <c r="B308" s="95" t="s">
        <v>27</v>
      </c>
      <c r="C308" s="96"/>
      <c r="D308" s="30">
        <f>SUM(E308:K308)</f>
        <v>0</v>
      </c>
      <c r="E308" s="31">
        <f t="shared" ref="E308:K311" si="99">E314</f>
        <v>0</v>
      </c>
      <c r="F308" s="31">
        <f t="shared" si="99"/>
        <v>0</v>
      </c>
      <c r="G308" s="31">
        <f t="shared" si="99"/>
        <v>0</v>
      </c>
      <c r="H308" s="40">
        <f t="shared" si="99"/>
        <v>0</v>
      </c>
      <c r="I308" s="40">
        <f t="shared" si="99"/>
        <v>0</v>
      </c>
      <c r="J308" s="31">
        <f t="shared" si="99"/>
        <v>0</v>
      </c>
      <c r="K308" s="31">
        <f t="shared" si="99"/>
        <v>0</v>
      </c>
      <c r="L308" s="31">
        <v>0</v>
      </c>
      <c r="M308" s="32">
        <v>0</v>
      </c>
      <c r="N308" s="31">
        <v>0</v>
      </c>
      <c r="O308" s="31">
        <v>0</v>
      </c>
      <c r="P308" s="24" t="s">
        <v>32</v>
      </c>
    </row>
    <row r="309" spans="1:16" s="23" customFormat="1" ht="16.8" x14ac:dyDescent="0.3">
      <c r="A309" s="24">
        <f>A308+1</f>
        <v>251</v>
      </c>
      <c r="B309" s="95" t="s">
        <v>28</v>
      </c>
      <c r="C309" s="96"/>
      <c r="D309" s="30">
        <f>SUM(E309:O309)</f>
        <v>0</v>
      </c>
      <c r="E309" s="31">
        <f t="shared" si="99"/>
        <v>0</v>
      </c>
      <c r="F309" s="31">
        <f t="shared" si="99"/>
        <v>0</v>
      </c>
      <c r="G309" s="31">
        <f t="shared" si="99"/>
        <v>0</v>
      </c>
      <c r="H309" s="40">
        <f t="shared" si="99"/>
        <v>0</v>
      </c>
      <c r="I309" s="40">
        <f t="shared" si="99"/>
        <v>0</v>
      </c>
      <c r="J309" s="31">
        <f t="shared" si="99"/>
        <v>0</v>
      </c>
      <c r="K309" s="31">
        <f t="shared" si="99"/>
        <v>0</v>
      </c>
      <c r="L309" s="31">
        <v>0</v>
      </c>
      <c r="M309" s="32">
        <v>0</v>
      </c>
      <c r="N309" s="31">
        <v>0</v>
      </c>
      <c r="O309" s="31">
        <v>0</v>
      </c>
      <c r="P309" s="24" t="s">
        <v>32</v>
      </c>
    </row>
    <row r="310" spans="1:16" s="23" customFormat="1" ht="16.8" x14ac:dyDescent="0.3">
      <c r="A310" s="24">
        <f>A309+1</f>
        <v>252</v>
      </c>
      <c r="B310" s="95" t="s">
        <v>29</v>
      </c>
      <c r="C310" s="96"/>
      <c r="D310" s="30">
        <f>SUM(E310:O310)</f>
        <v>0</v>
      </c>
      <c r="E310" s="31">
        <f t="shared" si="99"/>
        <v>0</v>
      </c>
      <c r="F310" s="31">
        <f t="shared" si="99"/>
        <v>0</v>
      </c>
      <c r="G310" s="31">
        <f t="shared" si="99"/>
        <v>0</v>
      </c>
      <c r="H310" s="40">
        <f t="shared" si="99"/>
        <v>0</v>
      </c>
      <c r="I310" s="40">
        <f t="shared" si="99"/>
        <v>0</v>
      </c>
      <c r="J310" s="31">
        <f t="shared" si="99"/>
        <v>0</v>
      </c>
      <c r="K310" s="31">
        <f t="shared" si="99"/>
        <v>0</v>
      </c>
      <c r="L310" s="31">
        <f>L316</f>
        <v>0</v>
      </c>
      <c r="M310" s="32">
        <f>M316</f>
        <v>0</v>
      </c>
      <c r="N310" s="31">
        <f>N316</f>
        <v>0</v>
      </c>
      <c r="O310" s="31">
        <f>O316</f>
        <v>0</v>
      </c>
      <c r="P310" s="24" t="s">
        <v>32</v>
      </c>
    </row>
    <row r="311" spans="1:16" s="23" customFormat="1" ht="16.8" x14ac:dyDescent="0.3">
      <c r="A311" s="24">
        <f>A310+1</f>
        <v>253</v>
      </c>
      <c r="B311" s="91" t="s">
        <v>30</v>
      </c>
      <c r="C311" s="92"/>
      <c r="D311" s="30">
        <f>SUM(E311:K311)</f>
        <v>0</v>
      </c>
      <c r="E311" s="31">
        <f t="shared" si="99"/>
        <v>0</v>
      </c>
      <c r="F311" s="31">
        <f t="shared" si="99"/>
        <v>0</v>
      </c>
      <c r="G311" s="31">
        <f t="shared" si="99"/>
        <v>0</v>
      </c>
      <c r="H311" s="40">
        <f t="shared" si="99"/>
        <v>0</v>
      </c>
      <c r="I311" s="40">
        <f t="shared" si="99"/>
        <v>0</v>
      </c>
      <c r="J311" s="31">
        <f t="shared" si="99"/>
        <v>0</v>
      </c>
      <c r="K311" s="31">
        <f t="shared" si="99"/>
        <v>0</v>
      </c>
      <c r="L311" s="31">
        <v>0</v>
      </c>
      <c r="M311" s="32">
        <v>0</v>
      </c>
      <c r="N311" s="31">
        <v>0</v>
      </c>
      <c r="O311" s="31">
        <v>0</v>
      </c>
      <c r="P311" s="24" t="s">
        <v>32</v>
      </c>
    </row>
    <row r="312" spans="1:16" s="23" customFormat="1" ht="16.8" x14ac:dyDescent="0.3">
      <c r="A312" s="81">
        <f>A311+1</f>
        <v>254</v>
      </c>
      <c r="B312" s="99" t="s">
        <v>52</v>
      </c>
      <c r="C312" s="100"/>
      <c r="D312" s="103">
        <f>SUM(E312:O313)</f>
        <v>0</v>
      </c>
      <c r="E312" s="103">
        <f t="shared" ref="E312:O312" si="100">SUM(E314:E317)</f>
        <v>0</v>
      </c>
      <c r="F312" s="103">
        <f t="shared" si="100"/>
        <v>0</v>
      </c>
      <c r="G312" s="103">
        <f t="shared" si="100"/>
        <v>0</v>
      </c>
      <c r="H312" s="106">
        <f t="shared" si="100"/>
        <v>0</v>
      </c>
      <c r="I312" s="106">
        <f t="shared" si="100"/>
        <v>0</v>
      </c>
      <c r="J312" s="103">
        <f t="shared" si="100"/>
        <v>0</v>
      </c>
      <c r="K312" s="103">
        <f t="shared" si="100"/>
        <v>0</v>
      </c>
      <c r="L312" s="103">
        <f t="shared" si="100"/>
        <v>0</v>
      </c>
      <c r="M312" s="89">
        <f t="shared" si="100"/>
        <v>0</v>
      </c>
      <c r="N312" s="103">
        <f t="shared" si="100"/>
        <v>0</v>
      </c>
      <c r="O312" s="103">
        <f t="shared" si="100"/>
        <v>0</v>
      </c>
      <c r="P312" s="81">
        <v>70.709999999999994</v>
      </c>
    </row>
    <row r="313" spans="1:16" s="60" customFormat="1" ht="106.5" customHeight="1" x14ac:dyDescent="0.3">
      <c r="A313" s="82"/>
      <c r="B313" s="101" t="s">
        <v>104</v>
      </c>
      <c r="C313" s="102"/>
      <c r="D313" s="104"/>
      <c r="E313" s="104"/>
      <c r="F313" s="104"/>
      <c r="G313" s="104"/>
      <c r="H313" s="107"/>
      <c r="I313" s="107"/>
      <c r="J313" s="104"/>
      <c r="K313" s="104"/>
      <c r="L313" s="104"/>
      <c r="M313" s="90"/>
      <c r="N313" s="104"/>
      <c r="O313" s="104"/>
      <c r="P313" s="82"/>
    </row>
    <row r="314" spans="1:16" s="23" customFormat="1" ht="16.8" x14ac:dyDescent="0.3">
      <c r="A314" s="24">
        <f>A312+1</f>
        <v>255</v>
      </c>
      <c r="B314" s="93" t="s">
        <v>27</v>
      </c>
      <c r="C314" s="94"/>
      <c r="D314" s="30">
        <f>SUM(E314:O314)</f>
        <v>0</v>
      </c>
      <c r="E314" s="31">
        <v>0</v>
      </c>
      <c r="F314" s="31">
        <v>0</v>
      </c>
      <c r="G314" s="31">
        <v>0</v>
      </c>
      <c r="H314" s="40">
        <v>0</v>
      </c>
      <c r="I314" s="40">
        <v>0</v>
      </c>
      <c r="J314" s="31">
        <v>0</v>
      </c>
      <c r="K314" s="31">
        <v>0</v>
      </c>
      <c r="L314" s="31">
        <v>0</v>
      </c>
      <c r="M314" s="32">
        <v>0</v>
      </c>
      <c r="N314" s="31">
        <v>0</v>
      </c>
      <c r="O314" s="31">
        <v>0</v>
      </c>
      <c r="P314" s="24" t="s">
        <v>32</v>
      </c>
    </row>
    <row r="315" spans="1:16" s="48" customFormat="1" ht="16.8" x14ac:dyDescent="0.3">
      <c r="A315" s="24">
        <f>A314+1</f>
        <v>256</v>
      </c>
      <c r="B315" s="95" t="s">
        <v>28</v>
      </c>
      <c r="C315" s="96"/>
      <c r="D315" s="30">
        <f>SUM(E315:O315)</f>
        <v>0</v>
      </c>
      <c r="E315" s="31">
        <v>0</v>
      </c>
      <c r="F315" s="31">
        <v>0</v>
      </c>
      <c r="G315" s="31">
        <v>0</v>
      </c>
      <c r="H315" s="40">
        <v>0</v>
      </c>
      <c r="I315" s="40">
        <v>0</v>
      </c>
      <c r="J315" s="31">
        <v>0</v>
      </c>
      <c r="K315" s="31">
        <v>0</v>
      </c>
      <c r="L315" s="31">
        <v>0</v>
      </c>
      <c r="M315" s="32">
        <v>0</v>
      </c>
      <c r="N315" s="31">
        <v>0</v>
      </c>
      <c r="O315" s="31">
        <v>0</v>
      </c>
      <c r="P315" s="24" t="s">
        <v>32</v>
      </c>
    </row>
    <row r="316" spans="1:16" s="23" customFormat="1" ht="16.8" x14ac:dyDescent="0.3">
      <c r="A316" s="24">
        <f>A315+1</f>
        <v>257</v>
      </c>
      <c r="B316" s="95" t="s">
        <v>29</v>
      </c>
      <c r="C316" s="96"/>
      <c r="D316" s="30">
        <f>SUM(E316:O316)</f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2">
        <v>0</v>
      </c>
      <c r="N316" s="31">
        <v>0</v>
      </c>
      <c r="O316" s="31"/>
      <c r="P316" s="24" t="s">
        <v>32</v>
      </c>
    </row>
    <row r="317" spans="1:16" s="23" customFormat="1" ht="16.8" x14ac:dyDescent="0.3">
      <c r="A317" s="24">
        <f>A316+1</f>
        <v>258</v>
      </c>
      <c r="B317" s="95" t="s">
        <v>30</v>
      </c>
      <c r="C317" s="96"/>
      <c r="D317" s="30">
        <f>SUM(E317:O317)</f>
        <v>0</v>
      </c>
      <c r="E317" s="31">
        <v>0</v>
      </c>
      <c r="F317" s="31">
        <v>0</v>
      </c>
      <c r="G317" s="31">
        <v>0</v>
      </c>
      <c r="H317" s="40">
        <v>0</v>
      </c>
      <c r="I317" s="40">
        <v>0</v>
      </c>
      <c r="J317" s="31">
        <v>0</v>
      </c>
      <c r="K317" s="31">
        <v>0</v>
      </c>
      <c r="L317" s="31">
        <v>0</v>
      </c>
      <c r="M317" s="32">
        <v>0</v>
      </c>
      <c r="N317" s="31">
        <v>0</v>
      </c>
      <c r="O317" s="31">
        <v>0</v>
      </c>
      <c r="P317" s="24" t="s">
        <v>32</v>
      </c>
    </row>
  </sheetData>
  <mergeCells count="597">
    <mergeCell ref="N294:N295"/>
    <mergeCell ref="M294:M295"/>
    <mergeCell ref="I294:I295"/>
    <mergeCell ref="A306:P306"/>
    <mergeCell ref="P194:P195"/>
    <mergeCell ref="O194:O195"/>
    <mergeCell ref="B195:C195"/>
    <mergeCell ref="B190:C190"/>
    <mergeCell ref="L194:L195"/>
    <mergeCell ref="M194:M195"/>
    <mergeCell ref="N194:N195"/>
    <mergeCell ref="A182:P182"/>
    <mergeCell ref="A188:P188"/>
    <mergeCell ref="G194:G195"/>
    <mergeCell ref="H194:H195"/>
    <mergeCell ref="F194:F195"/>
    <mergeCell ref="K194:K195"/>
    <mergeCell ref="I194:I195"/>
    <mergeCell ref="J194:J195"/>
    <mergeCell ref="G212:G213"/>
    <mergeCell ref="A206:P206"/>
    <mergeCell ref="F212:F213"/>
    <mergeCell ref="L212:L213"/>
    <mergeCell ref="P212:P213"/>
    <mergeCell ref="B196:C196"/>
    <mergeCell ref="B197:C197"/>
    <mergeCell ref="B198:C198"/>
    <mergeCell ref="B199:C199"/>
    <mergeCell ref="B201:C201"/>
    <mergeCell ref="B202:C202"/>
    <mergeCell ref="B203:C203"/>
    <mergeCell ref="B204:C204"/>
    <mergeCell ref="B205:C205"/>
    <mergeCell ref="B207:C207"/>
    <mergeCell ref="B208:C208"/>
    <mergeCell ref="A200:P200"/>
    <mergeCell ref="M218:M219"/>
    <mergeCell ref="N218:N219"/>
    <mergeCell ref="O218:O219"/>
    <mergeCell ref="P218:P219"/>
    <mergeCell ref="H212:H213"/>
    <mergeCell ref="I212:I213"/>
    <mergeCell ref="J212:J213"/>
    <mergeCell ref="K212:K213"/>
    <mergeCell ref="M212:M213"/>
    <mergeCell ref="N212:N213"/>
    <mergeCell ref="O212:O213"/>
    <mergeCell ref="G224:G225"/>
    <mergeCell ref="F224:F225"/>
    <mergeCell ref="F218:F219"/>
    <mergeCell ref="G218:G219"/>
    <mergeCell ref="H218:H219"/>
    <mergeCell ref="I218:I219"/>
    <mergeCell ref="J218:J219"/>
    <mergeCell ref="K218:K219"/>
    <mergeCell ref="L218:L219"/>
    <mergeCell ref="P224:P225"/>
    <mergeCell ref="O224:O225"/>
    <mergeCell ref="N224:N225"/>
    <mergeCell ref="M224:M225"/>
    <mergeCell ref="L224:L225"/>
    <mergeCell ref="K224:K225"/>
    <mergeCell ref="J224:J225"/>
    <mergeCell ref="I224:I225"/>
    <mergeCell ref="H224:H225"/>
    <mergeCell ref="P230:P231"/>
    <mergeCell ref="O230:O231"/>
    <mergeCell ref="N230:N231"/>
    <mergeCell ref="M230:M231"/>
    <mergeCell ref="L230:L231"/>
    <mergeCell ref="I230:I231"/>
    <mergeCell ref="K230:K231"/>
    <mergeCell ref="H230:H231"/>
    <mergeCell ref="F230:F231"/>
    <mergeCell ref="J230:J231"/>
    <mergeCell ref="G230:G231"/>
    <mergeCell ref="O250:O251"/>
    <mergeCell ref="N250:N251"/>
    <mergeCell ref="M250:M251"/>
    <mergeCell ref="L250:L251"/>
    <mergeCell ref="K250:K251"/>
    <mergeCell ref="J250:J251"/>
    <mergeCell ref="A238:P238"/>
    <mergeCell ref="A244:P244"/>
    <mergeCell ref="I250:I251"/>
    <mergeCell ref="P250:P251"/>
    <mergeCell ref="H250:H251"/>
    <mergeCell ref="G250:G251"/>
    <mergeCell ref="F250:F251"/>
    <mergeCell ref="F256:F257"/>
    <mergeCell ref="G256:G257"/>
    <mergeCell ref="H256:H257"/>
    <mergeCell ref="I256:I257"/>
    <mergeCell ref="J256:J257"/>
    <mergeCell ref="P256:P257"/>
    <mergeCell ref="L256:L257"/>
    <mergeCell ref="M256:M257"/>
    <mergeCell ref="N256:N257"/>
    <mergeCell ref="O256:O257"/>
    <mergeCell ref="K256:K257"/>
    <mergeCell ref="O268:O269"/>
    <mergeCell ref="P268:P269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312:O313"/>
    <mergeCell ref="P312:P313"/>
    <mergeCell ref="A282:P282"/>
    <mergeCell ref="A288:P288"/>
    <mergeCell ref="F276:F277"/>
    <mergeCell ref="G276:G277"/>
    <mergeCell ref="H276:H277"/>
    <mergeCell ref="I276:I277"/>
    <mergeCell ref="P276:P277"/>
    <mergeCell ref="J276:J277"/>
    <mergeCell ref="O276:O277"/>
    <mergeCell ref="K276:K277"/>
    <mergeCell ref="N276:N277"/>
    <mergeCell ref="L276:L277"/>
    <mergeCell ref="M276:M277"/>
    <mergeCell ref="A300:P300"/>
    <mergeCell ref="F294:F295"/>
    <mergeCell ref="P294:P295"/>
    <mergeCell ref="O294:O295"/>
    <mergeCell ref="L294:L295"/>
    <mergeCell ref="G294:G295"/>
    <mergeCell ref="H294:H295"/>
    <mergeCell ref="K294:K295"/>
    <mergeCell ref="J294:J295"/>
    <mergeCell ref="M312:M313"/>
    <mergeCell ref="L312:L313"/>
    <mergeCell ref="K312:K313"/>
    <mergeCell ref="J312:J313"/>
    <mergeCell ref="I312:I313"/>
    <mergeCell ref="H312:H313"/>
    <mergeCell ref="G312:G313"/>
    <mergeCell ref="F312:F313"/>
    <mergeCell ref="N312:N313"/>
    <mergeCell ref="B254:C254"/>
    <mergeCell ref="B253:C253"/>
    <mergeCell ref="B239:C239"/>
    <mergeCell ref="B240:C240"/>
    <mergeCell ref="B241:C241"/>
    <mergeCell ref="B242:C242"/>
    <mergeCell ref="B243:C243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64:C264"/>
    <mergeCell ref="B263:C263"/>
    <mergeCell ref="B262:C262"/>
    <mergeCell ref="B261:C261"/>
    <mergeCell ref="B260:C260"/>
    <mergeCell ref="B259:C259"/>
    <mergeCell ref="B258:C258"/>
    <mergeCell ref="B256:C256"/>
    <mergeCell ref="B255:C255"/>
    <mergeCell ref="B123:C123"/>
    <mergeCell ref="D126:D127"/>
    <mergeCell ref="E126:E127"/>
    <mergeCell ref="E120:E121"/>
    <mergeCell ref="D120:D121"/>
    <mergeCell ref="B122:C122"/>
    <mergeCell ref="B187:C187"/>
    <mergeCell ref="B184:C184"/>
    <mergeCell ref="B136:C136"/>
    <mergeCell ref="B137:C137"/>
    <mergeCell ref="B183:C183"/>
    <mergeCell ref="B186:C186"/>
    <mergeCell ref="B185:C185"/>
    <mergeCell ref="B135:C135"/>
    <mergeCell ref="B134:C134"/>
    <mergeCell ref="B133:C133"/>
    <mergeCell ref="B131:C131"/>
    <mergeCell ref="B130:C130"/>
    <mergeCell ref="B129:C129"/>
    <mergeCell ref="B128:C128"/>
    <mergeCell ref="B125:C125"/>
    <mergeCell ref="B124:C124"/>
    <mergeCell ref="B221:C221"/>
    <mergeCell ref="B222:C222"/>
    <mergeCell ref="B223:C223"/>
    <mergeCell ref="D212:D213"/>
    <mergeCell ref="D218:D219"/>
    <mergeCell ref="C139:D139"/>
    <mergeCell ref="C140:D140"/>
    <mergeCell ref="C141:D141"/>
    <mergeCell ref="C143:D143"/>
    <mergeCell ref="C146:D146"/>
    <mergeCell ref="C147:D147"/>
    <mergeCell ref="C148:D148"/>
    <mergeCell ref="C149:D149"/>
    <mergeCell ref="C150:D151"/>
    <mergeCell ref="C161:D161"/>
    <mergeCell ref="C160:D160"/>
    <mergeCell ref="C159:D159"/>
    <mergeCell ref="C155:D155"/>
    <mergeCell ref="C144:D145"/>
    <mergeCell ref="C142:D142"/>
    <mergeCell ref="B189:C189"/>
    <mergeCell ref="B191:C191"/>
    <mergeCell ref="B192:C192"/>
    <mergeCell ref="B193:C193"/>
    <mergeCell ref="D312:D313"/>
    <mergeCell ref="B313:C313"/>
    <mergeCell ref="B311:C311"/>
    <mergeCell ref="B312:C312"/>
    <mergeCell ref="E312:E313"/>
    <mergeCell ref="B314:C314"/>
    <mergeCell ref="B315:C315"/>
    <mergeCell ref="B316:C316"/>
    <mergeCell ref="B317:C317"/>
    <mergeCell ref="B271:C271"/>
    <mergeCell ref="B272:C272"/>
    <mergeCell ref="B266:C266"/>
    <mergeCell ref="D268:D269"/>
    <mergeCell ref="E268:E269"/>
    <mergeCell ref="B269:C269"/>
    <mergeCell ref="B265:C265"/>
    <mergeCell ref="D276:D277"/>
    <mergeCell ref="E294:E295"/>
    <mergeCell ref="D294:D295"/>
    <mergeCell ref="B295:C295"/>
    <mergeCell ref="B294:C294"/>
    <mergeCell ref="B293:C293"/>
    <mergeCell ref="B292:C292"/>
    <mergeCell ref="B291:C291"/>
    <mergeCell ref="B290:C290"/>
    <mergeCell ref="B289:C289"/>
    <mergeCell ref="B287:C287"/>
    <mergeCell ref="B286:C286"/>
    <mergeCell ref="B285:C285"/>
    <mergeCell ref="B284:C284"/>
    <mergeCell ref="B283:C283"/>
    <mergeCell ref="B281:C281"/>
    <mergeCell ref="B280:C280"/>
    <mergeCell ref="E212:E213"/>
    <mergeCell ref="E218:E219"/>
    <mergeCell ref="E230:E231"/>
    <mergeCell ref="E224:E225"/>
    <mergeCell ref="E276:E277"/>
    <mergeCell ref="E194:E195"/>
    <mergeCell ref="E250:E251"/>
    <mergeCell ref="D250:D251"/>
    <mergeCell ref="E256:E257"/>
    <mergeCell ref="E262:E263"/>
    <mergeCell ref="D262:D263"/>
    <mergeCell ref="D256:D257"/>
    <mergeCell ref="C234:D234"/>
    <mergeCell ref="C233:D233"/>
    <mergeCell ref="C230:D231"/>
    <mergeCell ref="B235:C235"/>
    <mergeCell ref="B232:C232"/>
    <mergeCell ref="B229:C229"/>
    <mergeCell ref="B209:C209"/>
    <mergeCell ref="B210:C210"/>
    <mergeCell ref="B217:C217"/>
    <mergeCell ref="B218:C218"/>
    <mergeCell ref="B219:C219"/>
    <mergeCell ref="B220:C220"/>
    <mergeCell ref="G98:G99"/>
    <mergeCell ref="A98:A99"/>
    <mergeCell ref="L98:L99"/>
    <mergeCell ref="F98:F99"/>
    <mergeCell ref="E98:E99"/>
    <mergeCell ref="M92:M93"/>
    <mergeCell ref="L92:L93"/>
    <mergeCell ref="K92:K93"/>
    <mergeCell ref="J92:J93"/>
    <mergeCell ref="I92:I93"/>
    <mergeCell ref="H92:H93"/>
    <mergeCell ref="G92:G93"/>
    <mergeCell ref="D92:D93"/>
    <mergeCell ref="B93:C93"/>
    <mergeCell ref="B92:C92"/>
    <mergeCell ref="A92:A93"/>
    <mergeCell ref="F92:F93"/>
    <mergeCell ref="E92:E93"/>
    <mergeCell ref="B96:C96"/>
    <mergeCell ref="B95:C95"/>
    <mergeCell ref="B94:C94"/>
    <mergeCell ref="A104:A105"/>
    <mergeCell ref="D104:D105"/>
    <mergeCell ref="G104:G105"/>
    <mergeCell ref="I104:I105"/>
    <mergeCell ref="P104:P105"/>
    <mergeCell ref="M104:M105"/>
    <mergeCell ref="N104:N105"/>
    <mergeCell ref="L104:L105"/>
    <mergeCell ref="K104:K105"/>
    <mergeCell ref="J104:J105"/>
    <mergeCell ref="O104:O105"/>
    <mergeCell ref="H104:H105"/>
    <mergeCell ref="E104:E105"/>
    <mergeCell ref="F104:F105"/>
    <mergeCell ref="O98:O99"/>
    <mergeCell ref="N98:N99"/>
    <mergeCell ref="M98:M99"/>
    <mergeCell ref="J98:J99"/>
    <mergeCell ref="I98:I99"/>
    <mergeCell ref="H98:H99"/>
    <mergeCell ref="D98:D99"/>
    <mergeCell ref="B109:C109"/>
    <mergeCell ref="B108:C108"/>
    <mergeCell ref="B107:C107"/>
    <mergeCell ref="B106:C106"/>
    <mergeCell ref="B103:C103"/>
    <mergeCell ref="B102:C102"/>
    <mergeCell ref="B101:C101"/>
    <mergeCell ref="B100:C100"/>
    <mergeCell ref="B97:C97"/>
    <mergeCell ref="F120:F121"/>
    <mergeCell ref="I120:I121"/>
    <mergeCell ref="J120:J121"/>
    <mergeCell ref="K120:K121"/>
    <mergeCell ref="B118:C118"/>
    <mergeCell ref="B117:C117"/>
    <mergeCell ref="B119:C119"/>
    <mergeCell ref="A114:P114"/>
    <mergeCell ref="M120:M121"/>
    <mergeCell ref="P120:P121"/>
    <mergeCell ref="H120:H121"/>
    <mergeCell ref="G120:G121"/>
    <mergeCell ref="L120:L121"/>
    <mergeCell ref="N120:N121"/>
    <mergeCell ref="O120:O121"/>
    <mergeCell ref="B116:C116"/>
    <mergeCell ref="B90:C90"/>
    <mergeCell ref="B91:C91"/>
    <mergeCell ref="B84:C84"/>
    <mergeCell ref="A57:A58"/>
    <mergeCell ref="B59:C59"/>
    <mergeCell ref="C60:D60"/>
    <mergeCell ref="C61:D61"/>
    <mergeCell ref="B62:C62"/>
    <mergeCell ref="B64:C64"/>
    <mergeCell ref="C65:D65"/>
    <mergeCell ref="C66:D66"/>
    <mergeCell ref="B67:C67"/>
    <mergeCell ref="B69:C69"/>
    <mergeCell ref="B70:C70"/>
    <mergeCell ref="B71:C71"/>
    <mergeCell ref="A86:P86"/>
    <mergeCell ref="A80:P80"/>
    <mergeCell ref="A74:P74"/>
    <mergeCell ref="A68:P68"/>
    <mergeCell ref="B76:C76"/>
    <mergeCell ref="B73:C73"/>
    <mergeCell ref="B72:C72"/>
    <mergeCell ref="B75:C75"/>
    <mergeCell ref="B77:C77"/>
    <mergeCell ref="B78:C78"/>
    <mergeCell ref="B79:C79"/>
    <mergeCell ref="B81:C81"/>
    <mergeCell ref="B82:C82"/>
    <mergeCell ref="B83:C83"/>
    <mergeCell ref="B85:C85"/>
    <mergeCell ref="B88:C88"/>
    <mergeCell ref="B89:C89"/>
    <mergeCell ref="P51:P52"/>
    <mergeCell ref="O57:O58"/>
    <mergeCell ref="N57:N58"/>
    <mergeCell ref="O51:O52"/>
    <mergeCell ref="P45:P46"/>
    <mergeCell ref="N45:N46"/>
    <mergeCell ref="O45:O46"/>
    <mergeCell ref="N51:N52"/>
    <mergeCell ref="N92:N93"/>
    <mergeCell ref="O92:O93"/>
    <mergeCell ref="H57:H58"/>
    <mergeCell ref="I57:I58"/>
    <mergeCell ref="J57:J58"/>
    <mergeCell ref="K57:K58"/>
    <mergeCell ref="L57:L58"/>
    <mergeCell ref="M57:M58"/>
    <mergeCell ref="P98:P99"/>
    <mergeCell ref="P92:P93"/>
    <mergeCell ref="P57:P58"/>
    <mergeCell ref="K98:K99"/>
    <mergeCell ref="A51:A52"/>
    <mergeCell ref="C51:D52"/>
    <mergeCell ref="E51:E52"/>
    <mergeCell ref="G51:G52"/>
    <mergeCell ref="F51:F52"/>
    <mergeCell ref="C54:D54"/>
    <mergeCell ref="C55:D55"/>
    <mergeCell ref="B56:C56"/>
    <mergeCell ref="C57:D58"/>
    <mergeCell ref="E57:E58"/>
    <mergeCell ref="F57:F58"/>
    <mergeCell ref="G57:G58"/>
    <mergeCell ref="B47:C47"/>
    <mergeCell ref="B48:C48"/>
    <mergeCell ref="B49:C49"/>
    <mergeCell ref="B50:C50"/>
    <mergeCell ref="B53:C53"/>
    <mergeCell ref="M51:M52"/>
    <mergeCell ref="L51:L52"/>
    <mergeCell ref="K51:K52"/>
    <mergeCell ref="J51:J52"/>
    <mergeCell ref="I51:I52"/>
    <mergeCell ref="H51:H52"/>
    <mergeCell ref="A39:P39"/>
    <mergeCell ref="B37:C37"/>
    <mergeCell ref="B40:C40"/>
    <mergeCell ref="B38:C38"/>
    <mergeCell ref="A45:A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B41:C41"/>
    <mergeCell ref="B42:C42"/>
    <mergeCell ref="B43:C43"/>
    <mergeCell ref="B44:C44"/>
    <mergeCell ref="B45:C45"/>
    <mergeCell ref="B46:C46"/>
    <mergeCell ref="B29:C29"/>
    <mergeCell ref="B30:C30"/>
    <mergeCell ref="B31:C31"/>
    <mergeCell ref="B32:C32"/>
    <mergeCell ref="B34:C34"/>
    <mergeCell ref="B35:C35"/>
    <mergeCell ref="B36:C36"/>
    <mergeCell ref="A21:P21"/>
    <mergeCell ref="A27:P27"/>
    <mergeCell ref="A33:P33"/>
    <mergeCell ref="B24:C24"/>
    <mergeCell ref="L15:L16"/>
    <mergeCell ref="M15:M16"/>
    <mergeCell ref="B17:C17"/>
    <mergeCell ref="B18:C18"/>
    <mergeCell ref="B19:C19"/>
    <mergeCell ref="B20:C20"/>
    <mergeCell ref="B23:C23"/>
    <mergeCell ref="B25:C25"/>
    <mergeCell ref="B26:C26"/>
    <mergeCell ref="A15:A16"/>
    <mergeCell ref="D15:D16"/>
    <mergeCell ref="E15:E16"/>
    <mergeCell ref="F15:F16"/>
    <mergeCell ref="G15:G16"/>
    <mergeCell ref="H15:H16"/>
    <mergeCell ref="I15:I16"/>
    <mergeCell ref="J15:J16"/>
    <mergeCell ref="K15:K16"/>
    <mergeCell ref="M156:M157"/>
    <mergeCell ref="O156:O157"/>
    <mergeCell ref="P156:P157"/>
    <mergeCell ref="J156:J157"/>
    <mergeCell ref="N156:N157"/>
    <mergeCell ref="F156:F157"/>
    <mergeCell ref="P28:P29"/>
    <mergeCell ref="N1:P1"/>
    <mergeCell ref="N2:P2"/>
    <mergeCell ref="N3:P3"/>
    <mergeCell ref="N4:P4"/>
    <mergeCell ref="N6:P6"/>
    <mergeCell ref="N7:P7"/>
    <mergeCell ref="N8:P8"/>
    <mergeCell ref="O15:O16"/>
    <mergeCell ref="P12:P13"/>
    <mergeCell ref="P15:P16"/>
    <mergeCell ref="N15:N16"/>
    <mergeCell ref="A10:P10"/>
    <mergeCell ref="A11:P11"/>
    <mergeCell ref="D12:O12"/>
    <mergeCell ref="A12:A13"/>
    <mergeCell ref="B12:B13"/>
    <mergeCell ref="B14:C14"/>
    <mergeCell ref="C156:D157"/>
    <mergeCell ref="E156:E157"/>
    <mergeCell ref="G156:G157"/>
    <mergeCell ref="H156:H157"/>
    <mergeCell ref="I156:I157"/>
    <mergeCell ref="C154:D154"/>
    <mergeCell ref="C153:D153"/>
    <mergeCell ref="K156:K157"/>
    <mergeCell ref="L156:L157"/>
    <mergeCell ref="G144:G145"/>
    <mergeCell ref="F144:F145"/>
    <mergeCell ref="P150:P151"/>
    <mergeCell ref="O150:O151"/>
    <mergeCell ref="M150:M151"/>
    <mergeCell ref="K150:K151"/>
    <mergeCell ref="E150:E151"/>
    <mergeCell ref="L150:L151"/>
    <mergeCell ref="H150:H151"/>
    <mergeCell ref="J150:J151"/>
    <mergeCell ref="I150:I151"/>
    <mergeCell ref="N150:N151"/>
    <mergeCell ref="G150:G151"/>
    <mergeCell ref="F150:F151"/>
    <mergeCell ref="E144:E145"/>
    <mergeCell ref="I126:I127"/>
    <mergeCell ref="H126:H127"/>
    <mergeCell ref="N126:N127"/>
    <mergeCell ref="O126:O127"/>
    <mergeCell ref="L126:L127"/>
    <mergeCell ref="M126:M127"/>
    <mergeCell ref="P144:P145"/>
    <mergeCell ref="O144:O145"/>
    <mergeCell ref="N144:N145"/>
    <mergeCell ref="M144:M145"/>
    <mergeCell ref="L144:L145"/>
    <mergeCell ref="K144:K145"/>
    <mergeCell ref="J144:J145"/>
    <mergeCell ref="I144:I145"/>
    <mergeCell ref="H144:H145"/>
    <mergeCell ref="B303:C303"/>
    <mergeCell ref="B304:C304"/>
    <mergeCell ref="B305:C305"/>
    <mergeCell ref="B307:C307"/>
    <mergeCell ref="B308:C308"/>
    <mergeCell ref="B309:C309"/>
    <mergeCell ref="B310:C310"/>
    <mergeCell ref="B273:C273"/>
    <mergeCell ref="B276:C276"/>
    <mergeCell ref="B278:C278"/>
    <mergeCell ref="B277:C277"/>
    <mergeCell ref="B279:C279"/>
    <mergeCell ref="B194:C194"/>
    <mergeCell ref="D194:D195"/>
    <mergeCell ref="B211:C211"/>
    <mergeCell ref="B296:C296"/>
    <mergeCell ref="B297:C297"/>
    <mergeCell ref="B298:C298"/>
    <mergeCell ref="B299:C299"/>
    <mergeCell ref="B301:C301"/>
    <mergeCell ref="B302:C302"/>
    <mergeCell ref="B257:C257"/>
    <mergeCell ref="D224:D225"/>
    <mergeCell ref="B226:C226"/>
    <mergeCell ref="B227:C227"/>
    <mergeCell ref="B228:C228"/>
    <mergeCell ref="B225:C225"/>
    <mergeCell ref="B224:C224"/>
    <mergeCell ref="B216:C216"/>
    <mergeCell ref="B215:C215"/>
    <mergeCell ref="B214:C214"/>
    <mergeCell ref="B213:C213"/>
    <mergeCell ref="B212:C212"/>
    <mergeCell ref="B267:C267"/>
    <mergeCell ref="B268:C268"/>
    <mergeCell ref="B270:C270"/>
    <mergeCell ref="A312:A313"/>
    <mergeCell ref="A294:A295"/>
    <mergeCell ref="A276:A277"/>
    <mergeCell ref="A268:A269"/>
    <mergeCell ref="A120:A121"/>
    <mergeCell ref="A256:A257"/>
    <mergeCell ref="A126:A127"/>
    <mergeCell ref="A250:A251"/>
    <mergeCell ref="A144:A145"/>
    <mergeCell ref="A230:A231"/>
    <mergeCell ref="A150:A151"/>
    <mergeCell ref="A224:A225"/>
    <mergeCell ref="A156:A157"/>
    <mergeCell ref="A262:A263"/>
    <mergeCell ref="A194:A195"/>
    <mergeCell ref="A218:A219"/>
    <mergeCell ref="A212:A213"/>
    <mergeCell ref="A132:P132"/>
    <mergeCell ref="P126:P127"/>
    <mergeCell ref="J126:J127"/>
    <mergeCell ref="G126:G127"/>
    <mergeCell ref="K126:K127"/>
    <mergeCell ref="A138:P138"/>
    <mergeCell ref="F126:F127"/>
  </mergeCells>
  <pageMargins left="0.23622046411037401" right="0.23622046411037401" top="0.35433068871498102" bottom="0.35433068871498102" header="0.31496062874794001" footer="0.31496062874794001"/>
  <pageSetup paperSize="9" scale="42" orientation="landscape"/>
  <rowBreaks count="8" manualBreakCount="8">
    <brk id="50" max="16383" man="1"/>
    <brk id="85" max="16383" man="1"/>
    <brk id="113" max="16383" man="1"/>
    <brk id="149" max="16383" man="1"/>
    <brk id="181" max="16383" man="1"/>
    <brk id="217" max="16383" man="1"/>
    <brk id="243" max="16383" man="1"/>
    <brk id="2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 МП "РФКСиПМ в ГО НС"</vt:lpstr>
      <vt:lpstr>'Прил 2 МП "РФКСиПМ в ГО НС"'!Область_печати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2023-01-12T09:16:04Z</dcterms:created>
  <dcterms:modified xsi:type="dcterms:W3CDTF">2023-01-12T09:16:04Z</dcterms:modified>
</cp:coreProperties>
</file>