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4 год\Постановления\Март\№ 163 от 29.03.2024 МП спорт\"/>
    </mc:Choice>
  </mc:AlternateContent>
  <bookViews>
    <workbookView xWindow="-120" yWindow="-120" windowWidth="29040" windowHeight="15840"/>
  </bookViews>
  <sheets>
    <sheet name="Прил 2 МП &quot;РФКСиПМ в ГО НС&quot;" sheetId="1" r:id="rId1"/>
  </sheets>
  <definedNames>
    <definedName name="_xlnm.Print_Area" localSheetId="0">'Прил 2 МП "РФКСиПМ в ГО НС"'!$A$1:$S$329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6" i="1" l="1"/>
  <c r="N237" i="1"/>
  <c r="N225" i="1"/>
  <c r="N152" i="1"/>
  <c r="N50" i="1"/>
  <c r="D59" i="1"/>
  <c r="D56" i="1"/>
  <c r="C55" i="1"/>
  <c r="C54" i="1"/>
  <c r="D53" i="1"/>
  <c r="D48" i="1"/>
  <c r="D47" i="1"/>
  <c r="P45" i="1"/>
  <c r="Q45" i="1"/>
  <c r="R45" i="1"/>
  <c r="P42" i="1"/>
  <c r="Q42" i="1"/>
  <c r="Q36" i="1" s="1"/>
  <c r="R42" i="1"/>
  <c r="P43" i="1"/>
  <c r="P37" i="1" s="1"/>
  <c r="Q43" i="1"/>
  <c r="R43" i="1"/>
  <c r="R37" i="1" s="1"/>
  <c r="P44" i="1"/>
  <c r="Q44" i="1"/>
  <c r="Q38" i="1" s="1"/>
  <c r="R44" i="1"/>
  <c r="P36" i="1"/>
  <c r="R36" i="1"/>
  <c r="Q37" i="1"/>
  <c r="P38" i="1"/>
  <c r="R38" i="1"/>
  <c r="P201" i="1"/>
  <c r="O225" i="1"/>
  <c r="O301" i="1"/>
  <c r="O298" i="1" s="1"/>
  <c r="P301" i="1"/>
  <c r="P298" i="1" s="1"/>
  <c r="Q301" i="1"/>
  <c r="Q298" i="1" s="1"/>
  <c r="R301" i="1"/>
  <c r="R298" i="1" s="1"/>
  <c r="O303" i="1"/>
  <c r="P303" i="1"/>
  <c r="Q303" i="1"/>
  <c r="R303" i="1"/>
  <c r="P147" i="1"/>
  <c r="P141" i="1" s="1"/>
  <c r="Q147" i="1"/>
  <c r="R147" i="1"/>
  <c r="R141" i="1" s="1"/>
  <c r="O155" i="1"/>
  <c r="P155" i="1"/>
  <c r="Q155" i="1"/>
  <c r="R155" i="1"/>
  <c r="O149" i="1"/>
  <c r="P149" i="1"/>
  <c r="Q149" i="1"/>
  <c r="R149" i="1"/>
  <c r="O146" i="1"/>
  <c r="P146" i="1"/>
  <c r="P144" i="1" s="1"/>
  <c r="Q146" i="1"/>
  <c r="R146" i="1"/>
  <c r="O148" i="1"/>
  <c r="O142" i="1" s="1"/>
  <c r="P148" i="1"/>
  <c r="Q148" i="1"/>
  <c r="Q142" i="1" s="1"/>
  <c r="R148" i="1"/>
  <c r="R142" i="1" s="1"/>
  <c r="R144" i="1"/>
  <c r="O139" i="1"/>
  <c r="P139" i="1"/>
  <c r="Q139" i="1"/>
  <c r="R139" i="1"/>
  <c r="R140" i="1"/>
  <c r="Q141" i="1"/>
  <c r="P142" i="1"/>
  <c r="O68" i="1"/>
  <c r="P68" i="1"/>
  <c r="Q68" i="1"/>
  <c r="R68" i="1"/>
  <c r="O63" i="1"/>
  <c r="P63" i="1"/>
  <c r="Q63" i="1"/>
  <c r="R63" i="1"/>
  <c r="O57" i="1"/>
  <c r="P57" i="1"/>
  <c r="Q57" i="1"/>
  <c r="R57" i="1"/>
  <c r="O45" i="1"/>
  <c r="O41" i="1"/>
  <c r="P41" i="1"/>
  <c r="Q41" i="1"/>
  <c r="R41" i="1"/>
  <c r="O42" i="1"/>
  <c r="O36" i="1" s="1"/>
  <c r="O43" i="1"/>
  <c r="O44" i="1"/>
  <c r="O38" i="1" s="1"/>
  <c r="O37" i="1"/>
  <c r="Q225" i="1"/>
  <c r="Q221" i="1" s="1"/>
  <c r="P225" i="1"/>
  <c r="P221" i="1" s="1"/>
  <c r="P277" i="1"/>
  <c r="Q277" i="1"/>
  <c r="R277" i="1"/>
  <c r="O281" i="1"/>
  <c r="O277" i="1" s="1"/>
  <c r="O237" i="1"/>
  <c r="O190" i="1"/>
  <c r="O147" i="1" s="1"/>
  <c r="Q129" i="1"/>
  <c r="P129" i="1"/>
  <c r="O95" i="1"/>
  <c r="O92" i="1" s="1"/>
  <c r="P95" i="1"/>
  <c r="Q95" i="1"/>
  <c r="R95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R138" i="1" l="1"/>
  <c r="P140" i="1"/>
  <c r="Q144" i="1"/>
  <c r="O219" i="1"/>
  <c r="O144" i="1"/>
  <c r="O141" i="1"/>
  <c r="O221" i="1"/>
  <c r="R40" i="1"/>
  <c r="Q140" i="1"/>
  <c r="O140" i="1"/>
  <c r="Q138" i="1"/>
  <c r="Q40" i="1"/>
  <c r="P40" i="1"/>
  <c r="O40" i="1"/>
  <c r="P138" i="1"/>
  <c r="D103" i="1"/>
  <c r="N257" i="1"/>
  <c r="N277" i="1"/>
  <c r="M277" i="1"/>
  <c r="L277" i="1"/>
  <c r="K277" i="1"/>
  <c r="J277" i="1"/>
  <c r="I277" i="1"/>
  <c r="H277" i="1"/>
  <c r="O51" i="1"/>
  <c r="O35" i="1"/>
  <c r="O34" i="1" s="1"/>
  <c r="O29" i="1"/>
  <c r="P29" i="1"/>
  <c r="O129" i="1"/>
  <c r="E45" i="1"/>
  <c r="F45" i="1"/>
  <c r="G45" i="1"/>
  <c r="A17" i="1"/>
  <c r="A18" i="1" s="1"/>
  <c r="A19" i="1" s="1"/>
  <c r="A20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O138" i="1" l="1"/>
  <c r="O17" i="1"/>
  <c r="A125" i="1"/>
  <c r="A127" i="1" s="1"/>
  <c r="A128" i="1" s="1"/>
  <c r="A129" i="1" s="1"/>
  <c r="A130" i="1" s="1"/>
  <c r="A131" i="1" s="1"/>
  <c r="A133" i="1" s="1"/>
  <c r="A134" i="1" s="1"/>
  <c r="A135" i="1" s="1"/>
  <c r="A136" i="1" s="1"/>
  <c r="A138" i="1" s="1"/>
  <c r="A139" i="1" s="1"/>
  <c r="A140" i="1" s="1"/>
  <c r="A141" i="1" s="1"/>
  <c r="A142" i="1" s="1"/>
  <c r="A144" i="1" s="1"/>
  <c r="A145" i="1" s="1"/>
  <c r="A146" i="1" s="1"/>
  <c r="A147" i="1" s="1"/>
  <c r="A148" i="1" s="1"/>
  <c r="A149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2" i="1" s="1"/>
  <c r="A193" i="1" s="1"/>
  <c r="A194" i="1" s="1"/>
  <c r="A195" i="1" s="1"/>
  <c r="A196" i="1" s="1"/>
  <c r="A198" i="1" s="1"/>
  <c r="A199" i="1" s="1"/>
  <c r="A200" i="1" s="1"/>
  <c r="A201" i="1" s="1"/>
  <c r="A202" i="1" s="1"/>
  <c r="A203" i="1" s="1"/>
  <c r="A205" i="1" s="1"/>
  <c r="A206" i="1" s="1"/>
  <c r="A207" i="1" s="1"/>
  <c r="A208" i="1" s="1"/>
  <c r="A210" i="1" s="1"/>
  <c r="A211" i="1" s="1"/>
  <c r="A212" i="1" s="1"/>
  <c r="A213" i="1" s="1"/>
  <c r="A214" i="1" s="1"/>
  <c r="A216" i="1" s="1"/>
  <c r="A217" i="1" s="1"/>
  <c r="A218" i="1" s="1"/>
  <c r="A219" i="1" s="1"/>
  <c r="A220" i="1" s="1"/>
  <c r="A221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5" i="1" s="1"/>
  <c r="A236" i="1" s="1"/>
  <c r="A237" i="1" s="1"/>
  <c r="A238" i="1" s="1"/>
  <c r="A239" i="1" s="1"/>
  <c r="A241" i="1" s="1"/>
  <c r="A242" i="1" s="1"/>
  <c r="A243" i="1" s="1"/>
  <c r="A244" i="1" s="1"/>
  <c r="A245" i="1" s="1"/>
  <c r="A246" i="1" s="1"/>
  <c r="A248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261" i="1" s="1"/>
  <c r="A262" i="1" s="1"/>
  <c r="A263" i="1" s="1"/>
  <c r="A264" i="1" s="1"/>
  <c r="A265" i="1" s="1"/>
  <c r="A267" i="1" s="1"/>
  <c r="A268" i="1" s="1"/>
  <c r="A269" i="1" s="1"/>
  <c r="A270" i="1" s="1"/>
  <c r="A271" i="1" s="1"/>
  <c r="A273" i="1" s="1"/>
  <c r="A274" i="1" s="1"/>
  <c r="A275" i="1" s="1"/>
  <c r="A276" i="1" s="1"/>
  <c r="A277" i="1" s="1"/>
  <c r="A279" i="1" s="1"/>
  <c r="A280" i="1" s="1"/>
  <c r="A281" i="1" s="1"/>
  <c r="A282" i="1" s="1"/>
  <c r="N42" i="1"/>
  <c r="N36" i="1" s="1"/>
  <c r="C190" i="1"/>
  <c r="C189" i="1"/>
  <c r="C188" i="1"/>
  <c r="R187" i="1"/>
  <c r="Q187" i="1"/>
  <c r="P187" i="1"/>
  <c r="O187" i="1"/>
  <c r="N187" i="1"/>
  <c r="M187" i="1"/>
  <c r="L187" i="1"/>
  <c r="K187" i="1"/>
  <c r="I187" i="1"/>
  <c r="H187" i="1"/>
  <c r="N146" i="1"/>
  <c r="N140" i="1" s="1"/>
  <c r="N230" i="1"/>
  <c r="N227" i="1" s="1"/>
  <c r="N224" i="1"/>
  <c r="N49" i="1"/>
  <c r="N153" i="1"/>
  <c r="N147" i="1" s="1"/>
  <c r="N141" i="1" s="1"/>
  <c r="N154" i="1"/>
  <c r="N148" i="1" s="1"/>
  <c r="N142" i="1" s="1"/>
  <c r="D72" i="1"/>
  <c r="L71" i="1"/>
  <c r="L68" i="1" s="1"/>
  <c r="C70" i="1"/>
  <c r="D69" i="1"/>
  <c r="N68" i="1"/>
  <c r="M68" i="1"/>
  <c r="K68" i="1"/>
  <c r="J68" i="1"/>
  <c r="I68" i="1"/>
  <c r="N44" i="1"/>
  <c r="N38" i="1" s="1"/>
  <c r="D326" i="1"/>
  <c r="D324" i="1"/>
  <c r="D325" i="1"/>
  <c r="D323" i="1"/>
  <c r="D306" i="1"/>
  <c r="D307" i="1"/>
  <c r="D308" i="1"/>
  <c r="D305" i="1"/>
  <c r="D288" i="1"/>
  <c r="D289" i="1"/>
  <c r="D290" i="1"/>
  <c r="D287" i="1"/>
  <c r="D280" i="1"/>
  <c r="D281" i="1"/>
  <c r="D282" i="1"/>
  <c r="D279" i="1"/>
  <c r="D275" i="1"/>
  <c r="D274" i="1"/>
  <c r="D276" i="1"/>
  <c r="D273" i="1"/>
  <c r="D268" i="1"/>
  <c r="D269" i="1"/>
  <c r="D270" i="1"/>
  <c r="D267" i="1"/>
  <c r="D262" i="1"/>
  <c r="D264" i="1"/>
  <c r="D261" i="1"/>
  <c r="D244" i="1"/>
  <c r="C243" i="1"/>
  <c r="C242" i="1"/>
  <c r="D241" i="1"/>
  <c r="D236" i="1"/>
  <c r="D238" i="1"/>
  <c r="D235" i="1"/>
  <c r="D232" i="1"/>
  <c r="D229" i="1"/>
  <c r="D226" i="1"/>
  <c r="D223" i="1"/>
  <c r="D206" i="1"/>
  <c r="D208" i="1"/>
  <c r="D205" i="1"/>
  <c r="C186" i="1"/>
  <c r="C180" i="1"/>
  <c r="C181" i="1"/>
  <c r="C184" i="1"/>
  <c r="C185" i="1"/>
  <c r="C172" i="1"/>
  <c r="C173" i="1"/>
  <c r="C176" i="1"/>
  <c r="C178" i="1"/>
  <c r="C168" i="1"/>
  <c r="C169" i="1"/>
  <c r="C170" i="1"/>
  <c r="C166" i="1"/>
  <c r="C165" i="1"/>
  <c r="C164" i="1"/>
  <c r="D163" i="1"/>
  <c r="C160" i="1"/>
  <c r="C158" i="1"/>
  <c r="D157" i="1"/>
  <c r="C151" i="1"/>
  <c r="D134" i="1"/>
  <c r="D136" i="1"/>
  <c r="D133" i="1"/>
  <c r="D128" i="1"/>
  <c r="D130" i="1"/>
  <c r="D127" i="1"/>
  <c r="D116" i="1"/>
  <c r="D117" i="1"/>
  <c r="D118" i="1"/>
  <c r="D114" i="1"/>
  <c r="D111" i="1"/>
  <c r="D106" i="1"/>
  <c r="D107" i="1"/>
  <c r="D108" i="1"/>
  <c r="D105" i="1"/>
  <c r="D100" i="1"/>
  <c r="D101" i="1"/>
  <c r="D102" i="1"/>
  <c r="D99" i="1"/>
  <c r="D67" i="1"/>
  <c r="C65" i="1"/>
  <c r="D64" i="1"/>
  <c r="D62" i="1"/>
  <c r="C60" i="1"/>
  <c r="R321" i="1"/>
  <c r="Q321" i="1"/>
  <c r="P321" i="1"/>
  <c r="R319" i="1"/>
  <c r="Q319" i="1"/>
  <c r="P319" i="1"/>
  <c r="P313" i="1" s="1"/>
  <c r="Q316" i="1"/>
  <c r="P316" i="1"/>
  <c r="Q313" i="1"/>
  <c r="Q310" i="1" s="1"/>
  <c r="P310" i="1"/>
  <c r="R285" i="1"/>
  <c r="Q285" i="1"/>
  <c r="P285" i="1"/>
  <c r="P259" i="1"/>
  <c r="Q259" i="1"/>
  <c r="R259" i="1"/>
  <c r="R258" i="1"/>
  <c r="R26" i="1" s="1"/>
  <c r="R20" i="1" s="1"/>
  <c r="R257" i="1"/>
  <c r="R251" i="1" s="1"/>
  <c r="R248" i="1" s="1"/>
  <c r="R256" i="1"/>
  <c r="R255" i="1"/>
  <c r="Q258" i="1"/>
  <c r="Q26" i="1" s="1"/>
  <c r="Q20" i="1" s="1"/>
  <c r="Q257" i="1"/>
  <c r="Q251" i="1" s="1"/>
  <c r="Q248" i="1" s="1"/>
  <c r="Q256" i="1"/>
  <c r="Q255" i="1"/>
  <c r="P258" i="1"/>
  <c r="P26" i="1" s="1"/>
  <c r="P20" i="1" s="1"/>
  <c r="P257" i="1"/>
  <c r="P251" i="1" s="1"/>
  <c r="P248" i="1" s="1"/>
  <c r="P256" i="1"/>
  <c r="P255" i="1"/>
  <c r="P245" i="1"/>
  <c r="Q245" i="1"/>
  <c r="Q219" i="1" s="1"/>
  <c r="R245" i="1"/>
  <c r="R219" i="1" s="1"/>
  <c r="N245" i="1"/>
  <c r="O245" i="1"/>
  <c r="P233" i="1"/>
  <c r="O233" i="1"/>
  <c r="Q233" i="1"/>
  <c r="R233" i="1"/>
  <c r="P227" i="1"/>
  <c r="Q227" i="1"/>
  <c r="R227" i="1"/>
  <c r="R221" i="1"/>
  <c r="P211" i="1"/>
  <c r="Q211" i="1"/>
  <c r="R211" i="1"/>
  <c r="P212" i="1"/>
  <c r="Q212" i="1"/>
  <c r="R212" i="1"/>
  <c r="P198" i="1"/>
  <c r="Q201" i="1"/>
  <c r="R201" i="1"/>
  <c r="P203" i="1"/>
  <c r="Q203" i="1"/>
  <c r="R203" i="1"/>
  <c r="P195" i="1"/>
  <c r="P192" i="1" s="1"/>
  <c r="R183" i="1"/>
  <c r="Q183" i="1"/>
  <c r="P183" i="1"/>
  <c r="R179" i="1"/>
  <c r="Q179" i="1"/>
  <c r="P179" i="1"/>
  <c r="P171" i="1"/>
  <c r="Q171" i="1"/>
  <c r="R171" i="1"/>
  <c r="R131" i="1"/>
  <c r="Q131" i="1"/>
  <c r="P131" i="1"/>
  <c r="R125" i="1"/>
  <c r="Q125" i="1"/>
  <c r="P125" i="1"/>
  <c r="O125" i="1"/>
  <c r="O131" i="1"/>
  <c r="R115" i="1"/>
  <c r="Q115" i="1"/>
  <c r="R109" i="1"/>
  <c r="Q109" i="1"/>
  <c r="P109" i="1"/>
  <c r="R97" i="1"/>
  <c r="Q97" i="1"/>
  <c r="P97" i="1"/>
  <c r="P92" i="1"/>
  <c r="R88" i="1"/>
  <c r="Q88" i="1"/>
  <c r="P88" i="1"/>
  <c r="P30" i="1" s="1"/>
  <c r="R84" i="1"/>
  <c r="Q84" i="1"/>
  <c r="P84" i="1"/>
  <c r="R81" i="1"/>
  <c r="R75" i="1" s="1"/>
  <c r="Q81" i="1"/>
  <c r="Q75" i="1" s="1"/>
  <c r="P81" i="1"/>
  <c r="P75" i="1" s="1"/>
  <c r="P115" i="1"/>
  <c r="R124" i="1"/>
  <c r="Q124" i="1"/>
  <c r="P124" i="1"/>
  <c r="R123" i="1"/>
  <c r="R89" i="1" s="1"/>
  <c r="Q123" i="1"/>
  <c r="Q89" i="1" s="1"/>
  <c r="P123" i="1"/>
  <c r="P89" i="1" s="1"/>
  <c r="R122" i="1"/>
  <c r="Q122" i="1"/>
  <c r="P122" i="1"/>
  <c r="R121" i="1"/>
  <c r="Q121" i="1"/>
  <c r="P121" i="1"/>
  <c r="P51" i="1"/>
  <c r="Q51" i="1"/>
  <c r="R51" i="1"/>
  <c r="P35" i="1"/>
  <c r="P34" i="1" s="1"/>
  <c r="Q35" i="1"/>
  <c r="Q34" i="1" s="1"/>
  <c r="R35" i="1"/>
  <c r="P17" i="1"/>
  <c r="Q29" i="1"/>
  <c r="R29" i="1"/>
  <c r="R17" i="1" s="1"/>
  <c r="O321" i="1"/>
  <c r="N321" i="1"/>
  <c r="M321" i="1"/>
  <c r="L321" i="1"/>
  <c r="K321" i="1"/>
  <c r="J321" i="1"/>
  <c r="I321" i="1"/>
  <c r="H321" i="1"/>
  <c r="G321" i="1"/>
  <c r="F321" i="1"/>
  <c r="E321" i="1"/>
  <c r="K320" i="1"/>
  <c r="K314" i="1" s="1"/>
  <c r="J320" i="1"/>
  <c r="J314" i="1" s="1"/>
  <c r="I320" i="1"/>
  <c r="I314" i="1" s="1"/>
  <c r="H320" i="1"/>
  <c r="H314" i="1" s="1"/>
  <c r="G320" i="1"/>
  <c r="G314" i="1" s="1"/>
  <c r="F320" i="1"/>
  <c r="F314" i="1" s="1"/>
  <c r="E320" i="1"/>
  <c r="O319" i="1"/>
  <c r="N319" i="1"/>
  <c r="M319" i="1"/>
  <c r="M316" i="1" s="1"/>
  <c r="L319" i="1"/>
  <c r="K319" i="1"/>
  <c r="K313" i="1" s="1"/>
  <c r="J319" i="1"/>
  <c r="J313" i="1" s="1"/>
  <c r="I319" i="1"/>
  <c r="I313" i="1" s="1"/>
  <c r="H319" i="1"/>
  <c r="H313" i="1" s="1"/>
  <c r="G319" i="1"/>
  <c r="G313" i="1" s="1"/>
  <c r="F319" i="1"/>
  <c r="F313" i="1" s="1"/>
  <c r="E319" i="1"/>
  <c r="E313" i="1" s="1"/>
  <c r="K318" i="1"/>
  <c r="K312" i="1" s="1"/>
  <c r="J318" i="1"/>
  <c r="J312" i="1" s="1"/>
  <c r="I318" i="1"/>
  <c r="H318" i="1"/>
  <c r="H312" i="1" s="1"/>
  <c r="G318" i="1"/>
  <c r="G312" i="1" s="1"/>
  <c r="F318" i="1"/>
  <c r="F312" i="1" s="1"/>
  <c r="E318" i="1"/>
  <c r="K317" i="1"/>
  <c r="K311" i="1" s="1"/>
  <c r="J317" i="1"/>
  <c r="I317" i="1"/>
  <c r="I311" i="1" s="1"/>
  <c r="H317" i="1"/>
  <c r="G317" i="1"/>
  <c r="G311" i="1" s="1"/>
  <c r="F317" i="1"/>
  <c r="E317" i="1"/>
  <c r="E311" i="1" s="1"/>
  <c r="N303" i="1"/>
  <c r="M303" i="1"/>
  <c r="L303" i="1"/>
  <c r="K303" i="1"/>
  <c r="J303" i="1"/>
  <c r="I303" i="1"/>
  <c r="H303" i="1"/>
  <c r="G303" i="1"/>
  <c r="F303" i="1"/>
  <c r="E303" i="1"/>
  <c r="K302" i="1"/>
  <c r="K296" i="1" s="1"/>
  <c r="J302" i="1"/>
  <c r="J296" i="1" s="1"/>
  <c r="I302" i="1"/>
  <c r="I296" i="1" s="1"/>
  <c r="H302" i="1"/>
  <c r="H296" i="1" s="1"/>
  <c r="G302" i="1"/>
  <c r="G296" i="1" s="1"/>
  <c r="F302" i="1"/>
  <c r="F296" i="1" s="1"/>
  <c r="E302" i="1"/>
  <c r="E296" i="1" s="1"/>
  <c r="N301" i="1"/>
  <c r="N295" i="1" s="1"/>
  <c r="N292" i="1" s="1"/>
  <c r="M301" i="1"/>
  <c r="L301" i="1"/>
  <c r="L298" i="1" s="1"/>
  <c r="K301" i="1"/>
  <c r="K295" i="1" s="1"/>
  <c r="J301" i="1"/>
  <c r="J295" i="1" s="1"/>
  <c r="I301" i="1"/>
  <c r="I295" i="1" s="1"/>
  <c r="H301" i="1"/>
  <c r="H295" i="1" s="1"/>
  <c r="G301" i="1"/>
  <c r="G295" i="1" s="1"/>
  <c r="F301" i="1"/>
  <c r="F295" i="1" s="1"/>
  <c r="E301" i="1"/>
  <c r="K300" i="1"/>
  <c r="K294" i="1" s="1"/>
  <c r="J300" i="1"/>
  <c r="I300" i="1"/>
  <c r="I294" i="1" s="1"/>
  <c r="H300" i="1"/>
  <c r="H294" i="1" s="1"/>
  <c r="G300" i="1"/>
  <c r="G294" i="1" s="1"/>
  <c r="F300" i="1"/>
  <c r="E300" i="1"/>
  <c r="E294" i="1" s="1"/>
  <c r="K299" i="1"/>
  <c r="J299" i="1"/>
  <c r="J293" i="1" s="1"/>
  <c r="I299" i="1"/>
  <c r="H299" i="1"/>
  <c r="H293" i="1" s="1"/>
  <c r="G299" i="1"/>
  <c r="F299" i="1"/>
  <c r="F293" i="1" s="1"/>
  <c r="E299" i="1"/>
  <c r="N298" i="1"/>
  <c r="O285" i="1"/>
  <c r="N285" i="1"/>
  <c r="M285" i="1"/>
  <c r="L285" i="1"/>
  <c r="K285" i="1"/>
  <c r="J285" i="1"/>
  <c r="I285" i="1"/>
  <c r="H285" i="1"/>
  <c r="G285" i="1"/>
  <c r="F285" i="1"/>
  <c r="E285" i="1"/>
  <c r="G277" i="1"/>
  <c r="F277" i="1"/>
  <c r="E277" i="1"/>
  <c r="M271" i="1"/>
  <c r="L271" i="1"/>
  <c r="K271" i="1"/>
  <c r="J271" i="1"/>
  <c r="I271" i="1"/>
  <c r="H271" i="1"/>
  <c r="G271" i="1"/>
  <c r="F271" i="1"/>
  <c r="E271" i="1"/>
  <c r="K265" i="1"/>
  <c r="J265" i="1"/>
  <c r="I265" i="1"/>
  <c r="H265" i="1"/>
  <c r="G265" i="1"/>
  <c r="F265" i="1"/>
  <c r="E265" i="1"/>
  <c r="M263" i="1"/>
  <c r="M257" i="1" s="1"/>
  <c r="M251" i="1" s="1"/>
  <c r="M248" i="1" s="1"/>
  <c r="L263" i="1"/>
  <c r="L257" i="1" s="1"/>
  <c r="L251" i="1" s="1"/>
  <c r="L248" i="1" s="1"/>
  <c r="O259" i="1"/>
  <c r="N259" i="1"/>
  <c r="M259" i="1"/>
  <c r="L259" i="1"/>
  <c r="K259" i="1"/>
  <c r="J259" i="1"/>
  <c r="I259" i="1"/>
  <c r="H259" i="1"/>
  <c r="G259" i="1"/>
  <c r="F259" i="1"/>
  <c r="E259" i="1"/>
  <c r="O258" i="1"/>
  <c r="O26" i="1" s="1"/>
  <c r="O20" i="1" s="1"/>
  <c r="N258" i="1"/>
  <c r="M258" i="1"/>
  <c r="K258" i="1"/>
  <c r="K252" i="1" s="1"/>
  <c r="J258" i="1"/>
  <c r="J252" i="1" s="1"/>
  <c r="I258" i="1"/>
  <c r="I252" i="1" s="1"/>
  <c r="H258" i="1"/>
  <c r="G258" i="1"/>
  <c r="G252" i="1" s="1"/>
  <c r="F258" i="1"/>
  <c r="F252" i="1" s="1"/>
  <c r="E258" i="1"/>
  <c r="E252" i="1" s="1"/>
  <c r="O257" i="1"/>
  <c r="O251" i="1" s="1"/>
  <c r="O248" i="1" s="1"/>
  <c r="N251" i="1"/>
  <c r="N248" i="1" s="1"/>
  <c r="K257" i="1"/>
  <c r="K251" i="1" s="1"/>
  <c r="J257" i="1"/>
  <c r="J251" i="1" s="1"/>
  <c r="I257" i="1"/>
  <c r="I251" i="1" s="1"/>
  <c r="H257" i="1"/>
  <c r="H251" i="1" s="1"/>
  <c r="G257" i="1"/>
  <c r="G251" i="1" s="1"/>
  <c r="F257" i="1"/>
  <c r="F251" i="1" s="1"/>
  <c r="E257" i="1"/>
  <c r="E251" i="1" s="1"/>
  <c r="O256" i="1"/>
  <c r="N256" i="1"/>
  <c r="M256" i="1"/>
  <c r="L256" i="1"/>
  <c r="K256" i="1"/>
  <c r="K250" i="1" s="1"/>
  <c r="J256" i="1"/>
  <c r="J250" i="1" s="1"/>
  <c r="I256" i="1"/>
  <c r="I250" i="1" s="1"/>
  <c r="H256" i="1"/>
  <c r="H250" i="1" s="1"/>
  <c r="G256" i="1"/>
  <c r="G250" i="1" s="1"/>
  <c r="F256" i="1"/>
  <c r="E256" i="1"/>
  <c r="E250" i="1" s="1"/>
  <c r="O255" i="1"/>
  <c r="N255" i="1"/>
  <c r="M255" i="1"/>
  <c r="L255" i="1"/>
  <c r="K255" i="1"/>
  <c r="J255" i="1"/>
  <c r="J249" i="1" s="1"/>
  <c r="I255" i="1"/>
  <c r="H255" i="1"/>
  <c r="H249" i="1" s="1"/>
  <c r="G255" i="1"/>
  <c r="F255" i="1"/>
  <c r="F249" i="1" s="1"/>
  <c r="E255" i="1"/>
  <c r="M246" i="1"/>
  <c r="L246" i="1"/>
  <c r="L245" i="1" s="1"/>
  <c r="L219" i="1" s="1"/>
  <c r="M245" i="1"/>
  <c r="K245" i="1"/>
  <c r="J245" i="1"/>
  <c r="K239" i="1"/>
  <c r="J239" i="1"/>
  <c r="I239" i="1"/>
  <c r="H239" i="1"/>
  <c r="G239" i="1"/>
  <c r="F239" i="1"/>
  <c r="E239" i="1"/>
  <c r="M237" i="1"/>
  <c r="M233" i="1" s="1"/>
  <c r="K237" i="1"/>
  <c r="N233" i="1"/>
  <c r="L233" i="1"/>
  <c r="J233" i="1"/>
  <c r="I233" i="1"/>
  <c r="H233" i="1"/>
  <c r="G233" i="1"/>
  <c r="F233" i="1"/>
  <c r="E233" i="1"/>
  <c r="M231" i="1"/>
  <c r="M230" i="1"/>
  <c r="O227" i="1"/>
  <c r="L227" i="1"/>
  <c r="K227" i="1"/>
  <c r="J227" i="1"/>
  <c r="I227" i="1"/>
  <c r="H227" i="1"/>
  <c r="G227" i="1"/>
  <c r="F227" i="1"/>
  <c r="E227" i="1"/>
  <c r="M225" i="1"/>
  <c r="K225" i="1"/>
  <c r="H225" i="1"/>
  <c r="H221" i="1" s="1"/>
  <c r="M224" i="1"/>
  <c r="L221" i="1"/>
  <c r="J221" i="1"/>
  <c r="I221" i="1"/>
  <c r="G221" i="1"/>
  <c r="F221" i="1"/>
  <c r="E221" i="1"/>
  <c r="K220" i="1"/>
  <c r="K214" i="1" s="1"/>
  <c r="J220" i="1"/>
  <c r="J214" i="1" s="1"/>
  <c r="I220" i="1"/>
  <c r="I214" i="1" s="1"/>
  <c r="H220" i="1"/>
  <c r="H214" i="1" s="1"/>
  <c r="G220" i="1"/>
  <c r="G214" i="1" s="1"/>
  <c r="F220" i="1"/>
  <c r="F214" i="1" s="1"/>
  <c r="E220" i="1"/>
  <c r="J219" i="1"/>
  <c r="J213" i="1" s="1"/>
  <c r="I219" i="1"/>
  <c r="I213" i="1" s="1"/>
  <c r="G219" i="1"/>
  <c r="G213" i="1" s="1"/>
  <c r="F219" i="1"/>
  <c r="F213" i="1" s="1"/>
  <c r="E219" i="1"/>
  <c r="E213" i="1" s="1"/>
  <c r="K218" i="1"/>
  <c r="K212" i="1" s="1"/>
  <c r="J218" i="1"/>
  <c r="J212" i="1" s="1"/>
  <c r="I218" i="1"/>
  <c r="I212" i="1" s="1"/>
  <c r="H218" i="1"/>
  <c r="G218" i="1"/>
  <c r="G212" i="1" s="1"/>
  <c r="F218" i="1"/>
  <c r="F212" i="1" s="1"/>
  <c r="E218" i="1"/>
  <c r="E212" i="1" s="1"/>
  <c r="K217" i="1"/>
  <c r="K211" i="1" s="1"/>
  <c r="J217" i="1"/>
  <c r="I217" i="1"/>
  <c r="H217" i="1"/>
  <c r="H211" i="1" s="1"/>
  <c r="G217" i="1"/>
  <c r="F217" i="1"/>
  <c r="F211" i="1" s="1"/>
  <c r="E217" i="1"/>
  <c r="E211" i="1" s="1"/>
  <c r="O212" i="1"/>
  <c r="L212" i="1"/>
  <c r="O211" i="1"/>
  <c r="N211" i="1"/>
  <c r="M211" i="1"/>
  <c r="L211" i="1"/>
  <c r="M207" i="1"/>
  <c r="K207" i="1"/>
  <c r="K203" i="1" s="1"/>
  <c r="H207" i="1"/>
  <c r="H203" i="1" s="1"/>
  <c r="O203" i="1"/>
  <c r="N203" i="1"/>
  <c r="L203" i="1"/>
  <c r="J203" i="1"/>
  <c r="I203" i="1"/>
  <c r="G203" i="1"/>
  <c r="F203" i="1"/>
  <c r="E203" i="1"/>
  <c r="K202" i="1"/>
  <c r="K196" i="1" s="1"/>
  <c r="J202" i="1"/>
  <c r="J196" i="1" s="1"/>
  <c r="I202" i="1"/>
  <c r="I196" i="1" s="1"/>
  <c r="H202" i="1"/>
  <c r="H196" i="1" s="1"/>
  <c r="G202" i="1"/>
  <c r="G196" i="1" s="1"/>
  <c r="F202" i="1"/>
  <c r="F196" i="1" s="1"/>
  <c r="E202" i="1"/>
  <c r="E196" i="1" s="1"/>
  <c r="O201" i="1"/>
  <c r="N201" i="1"/>
  <c r="N195" i="1" s="1"/>
  <c r="N192" i="1" s="1"/>
  <c r="L201" i="1"/>
  <c r="L198" i="1" s="1"/>
  <c r="K201" i="1"/>
  <c r="K195" i="1" s="1"/>
  <c r="J201" i="1"/>
  <c r="J195" i="1" s="1"/>
  <c r="I201" i="1"/>
  <c r="I195" i="1" s="1"/>
  <c r="G201" i="1"/>
  <c r="G195" i="1" s="1"/>
  <c r="F201" i="1"/>
  <c r="F195" i="1" s="1"/>
  <c r="E201" i="1"/>
  <c r="K200" i="1"/>
  <c r="K194" i="1" s="1"/>
  <c r="J200" i="1"/>
  <c r="J194" i="1" s="1"/>
  <c r="I200" i="1"/>
  <c r="I194" i="1" s="1"/>
  <c r="H200" i="1"/>
  <c r="H194" i="1" s="1"/>
  <c r="G200" i="1"/>
  <c r="G194" i="1" s="1"/>
  <c r="F200" i="1"/>
  <c r="F194" i="1" s="1"/>
  <c r="E200" i="1"/>
  <c r="E194" i="1" s="1"/>
  <c r="K199" i="1"/>
  <c r="J199" i="1"/>
  <c r="J193" i="1" s="1"/>
  <c r="I199" i="1"/>
  <c r="H199" i="1"/>
  <c r="G199" i="1"/>
  <c r="F199" i="1"/>
  <c r="F193" i="1" s="1"/>
  <c r="E199" i="1"/>
  <c r="O183" i="1"/>
  <c r="N183" i="1"/>
  <c r="M183" i="1"/>
  <c r="L183" i="1"/>
  <c r="K183" i="1"/>
  <c r="I183" i="1"/>
  <c r="H183" i="1"/>
  <c r="M182" i="1"/>
  <c r="K182" i="1"/>
  <c r="O179" i="1"/>
  <c r="N179" i="1"/>
  <c r="M179" i="1"/>
  <c r="L179" i="1"/>
  <c r="I179" i="1"/>
  <c r="H179" i="1"/>
  <c r="K177" i="1"/>
  <c r="C177" i="1" s="1"/>
  <c r="I175" i="1"/>
  <c r="H175" i="1"/>
  <c r="M174" i="1"/>
  <c r="K174" i="1"/>
  <c r="K171" i="1" s="1"/>
  <c r="O171" i="1"/>
  <c r="N171" i="1"/>
  <c r="M171" i="1"/>
  <c r="L171" i="1"/>
  <c r="I171" i="1"/>
  <c r="H171" i="1"/>
  <c r="K167" i="1"/>
  <c r="I167" i="1"/>
  <c r="H167" i="1"/>
  <c r="K161" i="1"/>
  <c r="J161" i="1"/>
  <c r="I161" i="1"/>
  <c r="H161" i="1"/>
  <c r="G161" i="1"/>
  <c r="F161" i="1"/>
  <c r="E161" i="1"/>
  <c r="J159" i="1"/>
  <c r="C159" i="1" s="1"/>
  <c r="N155" i="1"/>
  <c r="M155" i="1"/>
  <c r="L155" i="1"/>
  <c r="K155" i="1"/>
  <c r="I155" i="1"/>
  <c r="H155" i="1"/>
  <c r="G155" i="1"/>
  <c r="F155" i="1"/>
  <c r="E155" i="1"/>
  <c r="M154" i="1"/>
  <c r="M153" i="1"/>
  <c r="L153" i="1"/>
  <c r="L147" i="1" s="1"/>
  <c r="L141" i="1" s="1"/>
  <c r="K153" i="1"/>
  <c r="I153" i="1"/>
  <c r="I147" i="1" s="1"/>
  <c r="I141" i="1" s="1"/>
  <c r="H153" i="1"/>
  <c r="K152" i="1"/>
  <c r="I152" i="1"/>
  <c r="I146" i="1" s="1"/>
  <c r="I140" i="1" s="1"/>
  <c r="H152" i="1"/>
  <c r="J149" i="1"/>
  <c r="G149" i="1"/>
  <c r="F149" i="1"/>
  <c r="E149" i="1"/>
  <c r="L148" i="1"/>
  <c r="L142" i="1" s="1"/>
  <c r="K148" i="1"/>
  <c r="K142" i="1" s="1"/>
  <c r="J148" i="1"/>
  <c r="J142" i="1" s="1"/>
  <c r="I148" i="1"/>
  <c r="I142" i="1" s="1"/>
  <c r="H148" i="1"/>
  <c r="H142" i="1" s="1"/>
  <c r="G148" i="1"/>
  <c r="G142" i="1" s="1"/>
  <c r="F148" i="1"/>
  <c r="F142" i="1" s="1"/>
  <c r="E148" i="1"/>
  <c r="E142" i="1" s="1"/>
  <c r="G147" i="1"/>
  <c r="G141" i="1" s="1"/>
  <c r="F147" i="1"/>
  <c r="F141" i="1" s="1"/>
  <c r="E147" i="1"/>
  <c r="E141" i="1" s="1"/>
  <c r="M146" i="1"/>
  <c r="M140" i="1" s="1"/>
  <c r="L146" i="1"/>
  <c r="J146" i="1"/>
  <c r="J140" i="1" s="1"/>
  <c r="G146" i="1"/>
  <c r="G140" i="1" s="1"/>
  <c r="F146" i="1"/>
  <c r="F140" i="1" s="1"/>
  <c r="E146" i="1"/>
  <c r="E140" i="1" s="1"/>
  <c r="J145" i="1"/>
  <c r="J139" i="1" s="1"/>
  <c r="I145" i="1"/>
  <c r="H145" i="1"/>
  <c r="H139" i="1" s="1"/>
  <c r="G145" i="1"/>
  <c r="F145" i="1"/>
  <c r="E145" i="1"/>
  <c r="N139" i="1"/>
  <c r="M139" i="1"/>
  <c r="L139" i="1"/>
  <c r="K139" i="1"/>
  <c r="L135" i="1"/>
  <c r="D135" i="1" s="1"/>
  <c r="N131" i="1"/>
  <c r="M131" i="1"/>
  <c r="K131" i="1"/>
  <c r="J131" i="1"/>
  <c r="I131" i="1"/>
  <c r="H131" i="1"/>
  <c r="G131" i="1"/>
  <c r="F131" i="1"/>
  <c r="E131" i="1"/>
  <c r="I129" i="1"/>
  <c r="D129" i="1" s="1"/>
  <c r="N125" i="1"/>
  <c r="M125" i="1"/>
  <c r="L125" i="1"/>
  <c r="K125" i="1"/>
  <c r="J125" i="1"/>
  <c r="I125" i="1"/>
  <c r="H125" i="1"/>
  <c r="G125" i="1"/>
  <c r="F125" i="1"/>
  <c r="E125" i="1"/>
  <c r="O124" i="1"/>
  <c r="N124" i="1"/>
  <c r="M124" i="1"/>
  <c r="L124" i="1"/>
  <c r="K124" i="1"/>
  <c r="J124" i="1"/>
  <c r="I124" i="1"/>
  <c r="H124" i="1"/>
  <c r="G124" i="1"/>
  <c r="F124" i="1"/>
  <c r="E124" i="1"/>
  <c r="O123" i="1"/>
  <c r="O89" i="1" s="1"/>
  <c r="N123" i="1"/>
  <c r="M123" i="1"/>
  <c r="L123" i="1"/>
  <c r="K123" i="1"/>
  <c r="J123" i="1"/>
  <c r="I123" i="1"/>
  <c r="H123" i="1"/>
  <c r="G123" i="1"/>
  <c r="F123" i="1"/>
  <c r="E123" i="1"/>
  <c r="O122" i="1"/>
  <c r="N122" i="1"/>
  <c r="M122" i="1"/>
  <c r="L122" i="1"/>
  <c r="K122" i="1"/>
  <c r="J122" i="1"/>
  <c r="I122" i="1"/>
  <c r="H122" i="1"/>
  <c r="G122" i="1"/>
  <c r="F122" i="1"/>
  <c r="E122" i="1"/>
  <c r="O121" i="1"/>
  <c r="N121" i="1"/>
  <c r="M121" i="1"/>
  <c r="L121" i="1"/>
  <c r="K121" i="1"/>
  <c r="J121" i="1"/>
  <c r="I121" i="1"/>
  <c r="H121" i="1"/>
  <c r="G121" i="1"/>
  <c r="F121" i="1"/>
  <c r="E121" i="1"/>
  <c r="O115" i="1"/>
  <c r="N115" i="1"/>
  <c r="M115" i="1"/>
  <c r="L115" i="1"/>
  <c r="K115" i="1"/>
  <c r="J115" i="1"/>
  <c r="I115" i="1"/>
  <c r="H115" i="1"/>
  <c r="G115" i="1"/>
  <c r="F115" i="1"/>
  <c r="E115" i="1"/>
  <c r="L113" i="1"/>
  <c r="K113" i="1"/>
  <c r="K109" i="1" s="1"/>
  <c r="J113" i="1"/>
  <c r="J95" i="1" s="1"/>
  <c r="J89" i="1" s="1"/>
  <c r="H113" i="1"/>
  <c r="H95" i="1" s="1"/>
  <c r="H89" i="1" s="1"/>
  <c r="H31" i="1" s="1"/>
  <c r="L112" i="1"/>
  <c r="J112" i="1"/>
  <c r="J94" i="1" s="1"/>
  <c r="J88" i="1" s="1"/>
  <c r="J76" i="1" s="1"/>
  <c r="O109" i="1"/>
  <c r="N109" i="1"/>
  <c r="M109" i="1"/>
  <c r="I109" i="1"/>
  <c r="G109" i="1"/>
  <c r="F109" i="1"/>
  <c r="E109" i="1"/>
  <c r="O97" i="1"/>
  <c r="N97" i="1"/>
  <c r="M97" i="1"/>
  <c r="L97" i="1"/>
  <c r="K97" i="1"/>
  <c r="J97" i="1"/>
  <c r="I97" i="1"/>
  <c r="H97" i="1"/>
  <c r="G97" i="1"/>
  <c r="F97" i="1"/>
  <c r="E97" i="1"/>
  <c r="K96" i="1"/>
  <c r="K90" i="1" s="1"/>
  <c r="J96" i="1"/>
  <c r="J90" i="1" s="1"/>
  <c r="I96" i="1"/>
  <c r="I90" i="1" s="1"/>
  <c r="H96" i="1"/>
  <c r="H90" i="1" s="1"/>
  <c r="H84" i="1" s="1"/>
  <c r="H78" i="1" s="1"/>
  <c r="G96" i="1"/>
  <c r="G90" i="1" s="1"/>
  <c r="F96" i="1"/>
  <c r="F90" i="1" s="1"/>
  <c r="E96" i="1"/>
  <c r="N95" i="1"/>
  <c r="N92" i="1" s="1"/>
  <c r="M95" i="1"/>
  <c r="M92" i="1" s="1"/>
  <c r="I95" i="1"/>
  <c r="I89" i="1" s="1"/>
  <c r="I77" i="1" s="1"/>
  <c r="G95" i="1"/>
  <c r="G89" i="1" s="1"/>
  <c r="F95" i="1"/>
  <c r="F89" i="1" s="1"/>
  <c r="E95" i="1"/>
  <c r="E89" i="1" s="1"/>
  <c r="E31" i="1" s="1"/>
  <c r="K94" i="1"/>
  <c r="K88" i="1" s="1"/>
  <c r="I94" i="1"/>
  <c r="I88" i="1" s="1"/>
  <c r="G94" i="1"/>
  <c r="F94" i="1"/>
  <c r="E94" i="1"/>
  <c r="K93" i="1"/>
  <c r="J93" i="1"/>
  <c r="I93" i="1"/>
  <c r="I87" i="1" s="1"/>
  <c r="H93" i="1"/>
  <c r="G93" i="1"/>
  <c r="G87" i="1" s="1"/>
  <c r="G81" i="1" s="1"/>
  <c r="F93" i="1"/>
  <c r="E93" i="1"/>
  <c r="E87" i="1" s="1"/>
  <c r="O88" i="1"/>
  <c r="N88" i="1"/>
  <c r="N82" i="1" s="1"/>
  <c r="N76" i="1" s="1"/>
  <c r="M88" i="1"/>
  <c r="M82" i="1" s="1"/>
  <c r="M76" i="1" s="1"/>
  <c r="F88" i="1"/>
  <c r="F82" i="1" s="1"/>
  <c r="F76" i="1" s="1"/>
  <c r="N87" i="1"/>
  <c r="N81" i="1" s="1"/>
  <c r="N75" i="1" s="1"/>
  <c r="M87" i="1"/>
  <c r="L87" i="1"/>
  <c r="L81" i="1" s="1"/>
  <c r="L75" i="1" s="1"/>
  <c r="K87" i="1"/>
  <c r="K81" i="1" s="1"/>
  <c r="O84" i="1"/>
  <c r="N84" i="1"/>
  <c r="M84" i="1"/>
  <c r="L84" i="1"/>
  <c r="J83" i="1"/>
  <c r="H83" i="1"/>
  <c r="O81" i="1"/>
  <c r="O75" i="1" s="1"/>
  <c r="H76" i="1"/>
  <c r="L66" i="1"/>
  <c r="L63" i="1" s="1"/>
  <c r="K66" i="1"/>
  <c r="N63" i="1"/>
  <c r="M63" i="1"/>
  <c r="J63" i="1"/>
  <c r="I63" i="1"/>
  <c r="M61" i="1"/>
  <c r="M57" i="1" s="1"/>
  <c r="L61" i="1"/>
  <c r="N57" i="1"/>
  <c r="L57" i="1"/>
  <c r="K57" i="1"/>
  <c r="J57" i="1"/>
  <c r="I57" i="1"/>
  <c r="H57" i="1"/>
  <c r="G57" i="1"/>
  <c r="F57" i="1"/>
  <c r="E57" i="1"/>
  <c r="N51" i="1"/>
  <c r="M51" i="1"/>
  <c r="L51" i="1"/>
  <c r="K51" i="1"/>
  <c r="J51" i="1"/>
  <c r="I51" i="1"/>
  <c r="H51" i="1"/>
  <c r="G51" i="1"/>
  <c r="F51" i="1"/>
  <c r="E51" i="1"/>
  <c r="M50" i="1"/>
  <c r="D50" i="1" s="1"/>
  <c r="M49" i="1"/>
  <c r="L49" i="1"/>
  <c r="L45" i="1" s="1"/>
  <c r="K49" i="1"/>
  <c r="K45" i="1" s="1"/>
  <c r="J49" i="1"/>
  <c r="J45" i="1" s="1"/>
  <c r="I49" i="1"/>
  <c r="I45" i="1" s="1"/>
  <c r="H49" i="1"/>
  <c r="L44" i="1"/>
  <c r="L38" i="1" s="1"/>
  <c r="K44" i="1"/>
  <c r="J44" i="1"/>
  <c r="I44" i="1"/>
  <c r="H44" i="1"/>
  <c r="G44" i="1"/>
  <c r="F44" i="1"/>
  <c r="E44" i="1"/>
  <c r="G43" i="1"/>
  <c r="G37" i="1" s="1"/>
  <c r="F43" i="1"/>
  <c r="E43" i="1"/>
  <c r="M42" i="1"/>
  <c r="L42" i="1"/>
  <c r="L36" i="1" s="1"/>
  <c r="K42" i="1"/>
  <c r="J42" i="1"/>
  <c r="I42" i="1"/>
  <c r="H42" i="1"/>
  <c r="H36" i="1" s="1"/>
  <c r="G42" i="1"/>
  <c r="F42" i="1"/>
  <c r="F36" i="1" s="1"/>
  <c r="E42" i="1"/>
  <c r="N41" i="1"/>
  <c r="N35" i="1" s="1"/>
  <c r="M41" i="1"/>
  <c r="M35" i="1" s="1"/>
  <c r="L41" i="1"/>
  <c r="L35" i="1" s="1"/>
  <c r="K41" i="1"/>
  <c r="K35" i="1" s="1"/>
  <c r="J41" i="1"/>
  <c r="J35" i="1" s="1"/>
  <c r="I41" i="1"/>
  <c r="I35" i="1" s="1"/>
  <c r="H41" i="1"/>
  <c r="H35" i="1" s="1"/>
  <c r="G41" i="1"/>
  <c r="F41" i="1"/>
  <c r="F35" i="1" s="1"/>
  <c r="E41" i="1"/>
  <c r="H30" i="1"/>
  <c r="D42" i="1" l="1"/>
  <c r="E35" i="1"/>
  <c r="D41" i="1"/>
  <c r="E37" i="1"/>
  <c r="C51" i="1"/>
  <c r="C57" i="1"/>
  <c r="L149" i="1"/>
  <c r="O198" i="1"/>
  <c r="O25" i="1"/>
  <c r="H219" i="1"/>
  <c r="H213" i="1" s="1"/>
  <c r="Q77" i="1"/>
  <c r="Q31" i="1"/>
  <c r="Q195" i="1"/>
  <c r="Q192" i="1" s="1"/>
  <c r="Q25" i="1"/>
  <c r="H45" i="1"/>
  <c r="D49" i="1"/>
  <c r="Q17" i="1"/>
  <c r="P77" i="1"/>
  <c r="P31" i="1"/>
  <c r="P28" i="1" s="1"/>
  <c r="R77" i="1"/>
  <c r="R31" i="1"/>
  <c r="R198" i="1"/>
  <c r="R25" i="1"/>
  <c r="R19" i="1" s="1"/>
  <c r="L109" i="1"/>
  <c r="J155" i="1"/>
  <c r="R195" i="1"/>
  <c r="R192" i="1" s="1"/>
  <c r="L29" i="1"/>
  <c r="L17" i="1" s="1"/>
  <c r="N29" i="1"/>
  <c r="N17" i="1" s="1"/>
  <c r="O77" i="1"/>
  <c r="O31" i="1"/>
  <c r="J24" i="1"/>
  <c r="J26" i="1"/>
  <c r="M45" i="1"/>
  <c r="O82" i="1"/>
  <c r="O76" i="1" s="1"/>
  <c r="O74" i="1" s="1"/>
  <c r="O30" i="1"/>
  <c r="O28" i="1" s="1"/>
  <c r="D230" i="1"/>
  <c r="K76" i="1"/>
  <c r="K30" i="1"/>
  <c r="N43" i="1"/>
  <c r="N40" i="1" s="1"/>
  <c r="N45" i="1"/>
  <c r="E23" i="1"/>
  <c r="M30" i="1"/>
  <c r="J216" i="1"/>
  <c r="N221" i="1"/>
  <c r="A283" i="1"/>
  <c r="A284" i="1" s="1"/>
  <c r="A285" i="1"/>
  <c r="G25" i="1"/>
  <c r="M313" i="1"/>
  <c r="M310" i="1" s="1"/>
  <c r="R254" i="1"/>
  <c r="C187" i="1"/>
  <c r="E81" i="1"/>
  <c r="E29" i="1"/>
  <c r="I81" i="1"/>
  <c r="I29" i="1"/>
  <c r="I30" i="1"/>
  <c r="I76" i="1"/>
  <c r="G77" i="1"/>
  <c r="G31" i="1"/>
  <c r="F92" i="1"/>
  <c r="H92" i="1"/>
  <c r="J92" i="1"/>
  <c r="G92" i="1"/>
  <c r="L94" i="1"/>
  <c r="L88" i="1" s="1"/>
  <c r="L76" i="1" s="1"/>
  <c r="P254" i="1"/>
  <c r="Q254" i="1"/>
  <c r="C71" i="1"/>
  <c r="N218" i="1"/>
  <c r="N219" i="1"/>
  <c r="N213" i="1" s="1"/>
  <c r="F24" i="1"/>
  <c r="J36" i="1"/>
  <c r="J38" i="1"/>
  <c r="I43" i="1"/>
  <c r="I40" i="1" s="1"/>
  <c r="E92" i="1"/>
  <c r="L120" i="1"/>
  <c r="G144" i="1"/>
  <c r="L144" i="1"/>
  <c r="M43" i="1"/>
  <c r="M37" i="1" s="1"/>
  <c r="I92" i="1"/>
  <c r="D112" i="1"/>
  <c r="D113" i="1"/>
  <c r="D115" i="1"/>
  <c r="K149" i="1"/>
  <c r="I149" i="1"/>
  <c r="K310" i="1"/>
  <c r="N212" i="1"/>
  <c r="I23" i="1"/>
  <c r="L26" i="1"/>
  <c r="L20" i="1" s="1"/>
  <c r="F30" i="1"/>
  <c r="E40" i="1"/>
  <c r="L95" i="1"/>
  <c r="L89" i="1" s="1"/>
  <c r="L31" i="1" s="1"/>
  <c r="H120" i="1"/>
  <c r="L140" i="1"/>
  <c r="L138" i="1" s="1"/>
  <c r="F144" i="1"/>
  <c r="F198" i="1"/>
  <c r="F216" i="1"/>
  <c r="F210" i="1"/>
  <c r="N149" i="1"/>
  <c r="C154" i="1"/>
  <c r="D68" i="1"/>
  <c r="F26" i="1"/>
  <c r="F38" i="1"/>
  <c r="H38" i="1"/>
  <c r="H26" i="1"/>
  <c r="L43" i="1"/>
  <c r="L25" i="1" s="1"/>
  <c r="O86" i="1"/>
  <c r="L295" i="1"/>
  <c r="L292" i="1" s="1"/>
  <c r="D303" i="1"/>
  <c r="G19" i="1"/>
  <c r="G40" i="1"/>
  <c r="E88" i="1"/>
  <c r="E30" i="1" s="1"/>
  <c r="G88" i="1"/>
  <c r="G82" i="1" s="1"/>
  <c r="G76" i="1" s="1"/>
  <c r="D121" i="1"/>
  <c r="G120" i="1"/>
  <c r="I120" i="1"/>
  <c r="K120" i="1"/>
  <c r="M120" i="1"/>
  <c r="O120" i="1"/>
  <c r="F120" i="1"/>
  <c r="J120" i="1"/>
  <c r="N120" i="1"/>
  <c r="D123" i="1"/>
  <c r="D125" i="1"/>
  <c r="L131" i="1"/>
  <c r="D131" i="1" s="1"/>
  <c r="F139" i="1"/>
  <c r="F138" i="1" s="1"/>
  <c r="N138" i="1"/>
  <c r="C145" i="1"/>
  <c r="I144" i="1"/>
  <c r="N144" i="1"/>
  <c r="J147" i="1"/>
  <c r="M148" i="1"/>
  <c r="M142" i="1" s="1"/>
  <c r="M149" i="1"/>
  <c r="C153" i="1"/>
  <c r="K147" i="1"/>
  <c r="K141" i="1" s="1"/>
  <c r="M147" i="1"/>
  <c r="M144" i="1" s="1"/>
  <c r="C155" i="1"/>
  <c r="C161" i="1"/>
  <c r="C171" i="1"/>
  <c r="C182" i="1"/>
  <c r="C183" i="1"/>
  <c r="N198" i="1"/>
  <c r="J198" i="1"/>
  <c r="H201" i="1"/>
  <c r="H195" i="1" s="1"/>
  <c r="J211" i="1"/>
  <c r="J210" i="1" s="1"/>
  <c r="M218" i="1"/>
  <c r="M212" i="1" s="1"/>
  <c r="M227" i="1"/>
  <c r="D227" i="1" s="1"/>
  <c r="J254" i="1"/>
  <c r="G310" i="1"/>
  <c r="K316" i="1"/>
  <c r="P120" i="1"/>
  <c r="R120" i="1"/>
  <c r="F84" i="1"/>
  <c r="F78" i="1" s="1"/>
  <c r="F32" i="1"/>
  <c r="J84" i="1"/>
  <c r="J78" i="1" s="1"/>
  <c r="J32" i="1"/>
  <c r="J20" i="1" s="1"/>
  <c r="M203" i="1"/>
  <c r="D203" i="1" s="1"/>
  <c r="M201" i="1"/>
  <c r="M198" i="1" s="1"/>
  <c r="L213" i="1"/>
  <c r="L210" i="1" s="1"/>
  <c r="L216" i="1"/>
  <c r="F294" i="1"/>
  <c r="F292" i="1" s="1"/>
  <c r="F298" i="1"/>
  <c r="J294" i="1"/>
  <c r="J292" i="1" s="1"/>
  <c r="J298" i="1"/>
  <c r="O316" i="1"/>
  <c r="O313" i="1"/>
  <c r="O310" i="1" s="1"/>
  <c r="Q82" i="1"/>
  <c r="Q76" i="1" s="1"/>
  <c r="Q30" i="1"/>
  <c r="Q28" i="1" s="1"/>
  <c r="R92" i="1"/>
  <c r="Q295" i="1"/>
  <c r="Q292" i="1" s="1"/>
  <c r="G23" i="1"/>
  <c r="K23" i="1"/>
  <c r="H24" i="1"/>
  <c r="L24" i="1"/>
  <c r="E25" i="1"/>
  <c r="G29" i="1"/>
  <c r="K29" i="1"/>
  <c r="M29" i="1"/>
  <c r="M17" i="1" s="1"/>
  <c r="J30" i="1"/>
  <c r="N30" i="1"/>
  <c r="I31" i="1"/>
  <c r="H32" i="1"/>
  <c r="G35" i="1"/>
  <c r="H77" i="1"/>
  <c r="M81" i="1"/>
  <c r="M75" i="1" s="1"/>
  <c r="I86" i="1"/>
  <c r="M89" i="1"/>
  <c r="M77" i="1" s="1"/>
  <c r="D96" i="1"/>
  <c r="H109" i="1"/>
  <c r="J109" i="1"/>
  <c r="H193" i="1"/>
  <c r="L195" i="1"/>
  <c r="L192" i="1" s="1"/>
  <c r="G216" i="1"/>
  <c r="G211" i="1"/>
  <c r="G210" i="1" s="1"/>
  <c r="I216" i="1"/>
  <c r="I211" i="1"/>
  <c r="I210" i="1" s="1"/>
  <c r="H212" i="1"/>
  <c r="H210" i="1" s="1"/>
  <c r="H216" i="1"/>
  <c r="D220" i="1"/>
  <c r="E214" i="1"/>
  <c r="D214" i="1" s="1"/>
  <c r="F250" i="1"/>
  <c r="F248" i="1" s="1"/>
  <c r="F254" i="1"/>
  <c r="J248" i="1"/>
  <c r="N254" i="1"/>
  <c r="D265" i="1"/>
  <c r="H298" i="1"/>
  <c r="D199" i="1"/>
  <c r="G198" i="1"/>
  <c r="I198" i="1"/>
  <c r="K198" i="1"/>
  <c r="F192" i="1"/>
  <c r="J192" i="1"/>
  <c r="C239" i="1"/>
  <c r="D251" i="1"/>
  <c r="L254" i="1"/>
  <c r="D277" i="1"/>
  <c r="D296" i="1"/>
  <c r="D302" i="1"/>
  <c r="Q120" i="1"/>
  <c r="D263" i="1"/>
  <c r="E17" i="1"/>
  <c r="L37" i="1"/>
  <c r="L34" i="1" s="1"/>
  <c r="G32" i="1"/>
  <c r="G84" i="1"/>
  <c r="G78" i="1" s="1"/>
  <c r="I32" i="1"/>
  <c r="I28" i="1" s="1"/>
  <c r="I84" i="1"/>
  <c r="I78" i="1" s="1"/>
  <c r="K32" i="1"/>
  <c r="K84" i="1"/>
  <c r="K78" i="1" s="1"/>
  <c r="H18" i="1"/>
  <c r="F40" i="1"/>
  <c r="F23" i="1"/>
  <c r="H23" i="1"/>
  <c r="J23" i="1"/>
  <c r="L40" i="1"/>
  <c r="E24" i="1"/>
  <c r="G36" i="1"/>
  <c r="G24" i="1"/>
  <c r="I36" i="1"/>
  <c r="I24" i="1"/>
  <c r="K36" i="1"/>
  <c r="M36" i="1"/>
  <c r="F37" i="1"/>
  <c r="F25" i="1"/>
  <c r="H43" i="1"/>
  <c r="H40" i="1" s="1"/>
  <c r="J43" i="1"/>
  <c r="N37" i="1"/>
  <c r="N34" i="1" s="1"/>
  <c r="N25" i="1"/>
  <c r="E38" i="1"/>
  <c r="E26" i="1"/>
  <c r="G38" i="1"/>
  <c r="G26" i="1"/>
  <c r="I38" i="1"/>
  <c r="I26" i="1"/>
  <c r="K38" i="1"/>
  <c r="K26" i="1"/>
  <c r="M44" i="1"/>
  <c r="D44" i="1" s="1"/>
  <c r="C66" i="1"/>
  <c r="K63" i="1"/>
  <c r="D63" i="1" s="1"/>
  <c r="K43" i="1"/>
  <c r="G86" i="1"/>
  <c r="F83" i="1"/>
  <c r="F31" i="1"/>
  <c r="J31" i="1"/>
  <c r="J77" i="1"/>
  <c r="D194" i="1"/>
  <c r="D196" i="1"/>
  <c r="D237" i="1"/>
  <c r="K233" i="1"/>
  <c r="D233" i="1" s="1"/>
  <c r="F316" i="1"/>
  <c r="F311" i="1"/>
  <c r="H316" i="1"/>
  <c r="H311" i="1"/>
  <c r="H310" i="1" s="1"/>
  <c r="J316" i="1"/>
  <c r="J311" i="1"/>
  <c r="J310" i="1" s="1"/>
  <c r="D318" i="1"/>
  <c r="E312" i="1"/>
  <c r="E316" i="1"/>
  <c r="I312" i="1"/>
  <c r="I310" i="1" s="1"/>
  <c r="I316" i="1"/>
  <c r="L316" i="1"/>
  <c r="L313" i="1"/>
  <c r="L310" i="1" s="1"/>
  <c r="N316" i="1"/>
  <c r="N313" i="1"/>
  <c r="N310" i="1" s="1"/>
  <c r="D320" i="1"/>
  <c r="E314" i="1"/>
  <c r="D314" i="1" s="1"/>
  <c r="Q92" i="1"/>
  <c r="R216" i="1"/>
  <c r="R213" i="1"/>
  <c r="R210" i="1" s="1"/>
  <c r="R295" i="1"/>
  <c r="R292" i="1" s="1"/>
  <c r="D200" i="1"/>
  <c r="N26" i="1"/>
  <c r="N20" i="1" s="1"/>
  <c r="C61" i="1"/>
  <c r="E75" i="1"/>
  <c r="G75" i="1"/>
  <c r="I75" i="1"/>
  <c r="K75" i="1"/>
  <c r="E77" i="1"/>
  <c r="F87" i="1"/>
  <c r="H87" i="1"/>
  <c r="J87" i="1"/>
  <c r="N89" i="1"/>
  <c r="N77" i="1" s="1"/>
  <c r="N74" i="1" s="1"/>
  <c r="E90" i="1"/>
  <c r="D93" i="1"/>
  <c r="K95" i="1"/>
  <c r="D97" i="1"/>
  <c r="E120" i="1"/>
  <c r="D122" i="1"/>
  <c r="D124" i="1"/>
  <c r="E139" i="1"/>
  <c r="G139" i="1"/>
  <c r="G138" i="1" s="1"/>
  <c r="I139" i="1"/>
  <c r="I138" i="1" s="1"/>
  <c r="E144" i="1"/>
  <c r="K146" i="1"/>
  <c r="H147" i="1"/>
  <c r="H149" i="1"/>
  <c r="C152" i="1"/>
  <c r="C167" i="1"/>
  <c r="C174" i="1"/>
  <c r="K175" i="1"/>
  <c r="C175" i="1" s="1"/>
  <c r="K179" i="1"/>
  <c r="C179" i="1" s="1"/>
  <c r="E193" i="1"/>
  <c r="G193" i="1"/>
  <c r="G192" i="1" s="1"/>
  <c r="I193" i="1"/>
  <c r="I192" i="1" s="1"/>
  <c r="K193" i="1"/>
  <c r="K192" i="1" s="1"/>
  <c r="E195" i="1"/>
  <c r="O195" i="1"/>
  <c r="O192" i="1" s="1"/>
  <c r="E198" i="1"/>
  <c r="D202" i="1"/>
  <c r="D207" i="1"/>
  <c r="D217" i="1"/>
  <c r="E216" i="1"/>
  <c r="D224" i="1"/>
  <c r="M221" i="1"/>
  <c r="K221" i="1"/>
  <c r="K219" i="1"/>
  <c r="K213" i="1" s="1"/>
  <c r="K210" i="1" s="1"/>
  <c r="D231" i="1"/>
  <c r="M219" i="1"/>
  <c r="M213" i="1" s="1"/>
  <c r="D246" i="1"/>
  <c r="H252" i="1"/>
  <c r="H248" i="1" s="1"/>
  <c r="H254" i="1"/>
  <c r="G316" i="1"/>
  <c r="P219" i="1"/>
  <c r="P25" i="1" s="1"/>
  <c r="Q216" i="1"/>
  <c r="Q213" i="1"/>
  <c r="Q210" i="1" s="1"/>
  <c r="D225" i="1"/>
  <c r="D317" i="1"/>
  <c r="D245" i="1"/>
  <c r="D255" i="1"/>
  <c r="E254" i="1"/>
  <c r="E249" i="1"/>
  <c r="G254" i="1"/>
  <c r="G249" i="1"/>
  <c r="G248" i="1" s="1"/>
  <c r="I254" i="1"/>
  <c r="I249" i="1"/>
  <c r="I248" i="1" s="1"/>
  <c r="K254" i="1"/>
  <c r="K249" i="1"/>
  <c r="K248" i="1" s="1"/>
  <c r="M254" i="1"/>
  <c r="O254" i="1"/>
  <c r="H292" i="1"/>
  <c r="D299" i="1"/>
  <c r="E298" i="1"/>
  <c r="E293" i="1"/>
  <c r="G298" i="1"/>
  <c r="G293" i="1"/>
  <c r="G292" i="1" s="1"/>
  <c r="I298" i="1"/>
  <c r="I293" i="1"/>
  <c r="I292" i="1" s="1"/>
  <c r="K298" i="1"/>
  <c r="K293" i="1"/>
  <c r="K292" i="1" s="1"/>
  <c r="D301" i="1"/>
  <c r="E295" i="1"/>
  <c r="M298" i="1"/>
  <c r="M295" i="1"/>
  <c r="M292" i="1" s="1"/>
  <c r="O295" i="1"/>
  <c r="O292" i="1" s="1"/>
  <c r="D319" i="1"/>
  <c r="P86" i="1"/>
  <c r="P82" i="1"/>
  <c r="P76" i="1" s="1"/>
  <c r="R82" i="1"/>
  <c r="R76" i="1" s="1"/>
  <c r="R74" i="1" s="1"/>
  <c r="R30" i="1"/>
  <c r="Q198" i="1"/>
  <c r="P295" i="1"/>
  <c r="P292" i="1" s="1"/>
  <c r="R316" i="1"/>
  <c r="R313" i="1"/>
  <c r="R310" i="1" s="1"/>
  <c r="D257" i="1"/>
  <c r="D300" i="1"/>
  <c r="D256" i="1"/>
  <c r="D258" i="1"/>
  <c r="D259" i="1"/>
  <c r="D271" i="1"/>
  <c r="D285" i="1"/>
  <c r="D321" i="1"/>
  <c r="R34" i="1"/>
  <c r="D36" i="1" l="1"/>
  <c r="Q19" i="1"/>
  <c r="P19" i="1"/>
  <c r="P74" i="1"/>
  <c r="D45" i="1"/>
  <c r="Q24" i="1"/>
  <c r="Q74" i="1"/>
  <c r="E19" i="1"/>
  <c r="D23" i="1"/>
  <c r="R24" i="1"/>
  <c r="R18" i="1" s="1"/>
  <c r="P24" i="1"/>
  <c r="P18" i="1" s="1"/>
  <c r="O24" i="1"/>
  <c r="O19" i="1"/>
  <c r="D43" i="1"/>
  <c r="D35" i="1"/>
  <c r="M24" i="1"/>
  <c r="N216" i="1"/>
  <c r="L77" i="1"/>
  <c r="J18" i="1"/>
  <c r="F18" i="1"/>
  <c r="D294" i="1"/>
  <c r="E82" i="1"/>
  <c r="I18" i="1"/>
  <c r="M74" i="1"/>
  <c r="N24" i="1"/>
  <c r="N22" i="1" s="1"/>
  <c r="N210" i="1"/>
  <c r="M195" i="1"/>
  <c r="M192" i="1" s="1"/>
  <c r="C148" i="1"/>
  <c r="I74" i="1"/>
  <c r="F34" i="1"/>
  <c r="D109" i="1"/>
  <c r="G17" i="1"/>
  <c r="L92" i="1"/>
  <c r="A287" i="1"/>
  <c r="A288" i="1" s="1"/>
  <c r="A289" i="1" s="1"/>
  <c r="A290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10" i="1" s="1"/>
  <c r="A311" i="1" s="1"/>
  <c r="A312" i="1" s="1"/>
  <c r="A313" i="1" s="1"/>
  <c r="A314" i="1" s="1"/>
  <c r="A316" i="1" s="1"/>
  <c r="A317" i="1" s="1"/>
  <c r="A318" i="1" s="1"/>
  <c r="A319" i="1" s="1"/>
  <c r="A320" i="1" s="1"/>
  <c r="A321" i="1" s="1"/>
  <c r="A323" i="1" s="1"/>
  <c r="A324" i="1" s="1"/>
  <c r="A325" i="1" s="1"/>
  <c r="A326" i="1" s="1"/>
  <c r="L74" i="1"/>
  <c r="D94" i="1"/>
  <c r="D95" i="1"/>
  <c r="I80" i="1"/>
  <c r="I17" i="1"/>
  <c r="I37" i="1"/>
  <c r="I25" i="1"/>
  <c r="I19" i="1" s="1"/>
  <c r="M141" i="1"/>
  <c r="M138" i="1" s="1"/>
  <c r="D120" i="1"/>
  <c r="G74" i="1"/>
  <c r="L86" i="1"/>
  <c r="H20" i="1"/>
  <c r="L30" i="1"/>
  <c r="L18" i="1" s="1"/>
  <c r="H192" i="1"/>
  <c r="D142" i="1"/>
  <c r="F20" i="1"/>
  <c r="D218" i="1"/>
  <c r="M210" i="1"/>
  <c r="D211" i="1"/>
  <c r="C149" i="1"/>
  <c r="C147" i="1"/>
  <c r="G30" i="1"/>
  <c r="G18" i="1" s="1"/>
  <c r="K17" i="1"/>
  <c r="K80" i="1"/>
  <c r="D201" i="1"/>
  <c r="H198" i="1"/>
  <c r="D198" i="1" s="1"/>
  <c r="J144" i="1"/>
  <c r="J141" i="1"/>
  <c r="J138" i="1" s="1"/>
  <c r="D88" i="1"/>
  <c r="R22" i="1"/>
  <c r="M31" i="1"/>
  <c r="M28" i="1" s="1"/>
  <c r="O216" i="1"/>
  <c r="O213" i="1"/>
  <c r="O210" i="1" s="1"/>
  <c r="R28" i="1"/>
  <c r="D212" i="1"/>
  <c r="M86" i="1"/>
  <c r="R86" i="1"/>
  <c r="D250" i="1"/>
  <c r="D252" i="1"/>
  <c r="D221" i="1"/>
  <c r="E210" i="1"/>
  <c r="D295" i="1"/>
  <c r="D293" i="1"/>
  <c r="E292" i="1"/>
  <c r="D292" i="1" s="1"/>
  <c r="D254" i="1"/>
  <c r="P216" i="1"/>
  <c r="P213" i="1"/>
  <c r="P210" i="1" s="1"/>
  <c r="M216" i="1"/>
  <c r="D193" i="1"/>
  <c r="E192" i="1"/>
  <c r="K144" i="1"/>
  <c r="K140" i="1"/>
  <c r="D139" i="1"/>
  <c r="E138" i="1"/>
  <c r="D90" i="1"/>
  <c r="E32" i="1"/>
  <c r="D32" i="1" s="1"/>
  <c r="E84" i="1"/>
  <c r="E80" i="1" s="1"/>
  <c r="J81" i="1"/>
  <c r="J29" i="1"/>
  <c r="J28" i="1" s="1"/>
  <c r="J86" i="1"/>
  <c r="F81" i="1"/>
  <c r="F29" i="1"/>
  <c r="F17" i="1" s="1"/>
  <c r="F86" i="1"/>
  <c r="D82" i="1"/>
  <c r="E76" i="1"/>
  <c r="D312" i="1"/>
  <c r="D311" i="1"/>
  <c r="F310" i="1"/>
  <c r="D313" i="1"/>
  <c r="M38" i="1"/>
  <c r="D38" i="1" s="1"/>
  <c r="M26" i="1"/>
  <c r="M20" i="1" s="1"/>
  <c r="M40" i="1"/>
  <c r="E34" i="1"/>
  <c r="J37" i="1"/>
  <c r="J34" i="1" s="1"/>
  <c r="J25" i="1"/>
  <c r="J19" i="1" s="1"/>
  <c r="F19" i="1"/>
  <c r="M18" i="1"/>
  <c r="K24" i="1"/>
  <c r="E18" i="1"/>
  <c r="J40" i="1"/>
  <c r="G22" i="1"/>
  <c r="I22" i="1"/>
  <c r="E22" i="1"/>
  <c r="E310" i="1"/>
  <c r="D298" i="1"/>
  <c r="D249" i="1"/>
  <c r="E248" i="1"/>
  <c r="D248" i="1" s="1"/>
  <c r="K216" i="1"/>
  <c r="H141" i="1"/>
  <c r="H144" i="1"/>
  <c r="K92" i="1"/>
  <c r="K89" i="1"/>
  <c r="N31" i="1"/>
  <c r="N28" i="1" s="1"/>
  <c r="N86" i="1"/>
  <c r="H81" i="1"/>
  <c r="H29" i="1"/>
  <c r="H28" i="1" s="1"/>
  <c r="H86" i="1"/>
  <c r="E86" i="1"/>
  <c r="Q86" i="1"/>
  <c r="D316" i="1"/>
  <c r="D219" i="1"/>
  <c r="C146" i="1"/>
  <c r="D87" i="1"/>
  <c r="D83" i="1"/>
  <c r="F77" i="1"/>
  <c r="K40" i="1"/>
  <c r="K37" i="1"/>
  <c r="K34" i="1" s="1"/>
  <c r="K25" i="1"/>
  <c r="K20" i="1"/>
  <c r="I20" i="1"/>
  <c r="G20" i="1"/>
  <c r="H37" i="1"/>
  <c r="H34" i="1" s="1"/>
  <c r="H25" i="1"/>
  <c r="H19" i="1" s="1"/>
  <c r="I34" i="1"/>
  <c r="G34" i="1"/>
  <c r="F22" i="1"/>
  <c r="M25" i="1"/>
  <c r="G80" i="1"/>
  <c r="L19" i="1"/>
  <c r="L22" i="1"/>
  <c r="D40" i="1" l="1"/>
  <c r="D24" i="1"/>
  <c r="N18" i="1"/>
  <c r="O18" i="1"/>
  <c r="O22" i="1"/>
  <c r="D26" i="1"/>
  <c r="D29" i="1"/>
  <c r="P22" i="1"/>
  <c r="D25" i="1"/>
  <c r="D37" i="1"/>
  <c r="Q18" i="1"/>
  <c r="Q22" i="1"/>
  <c r="D30" i="1"/>
  <c r="O15" i="1"/>
  <c r="J15" i="1"/>
  <c r="I15" i="1"/>
  <c r="D92" i="1"/>
  <c r="D195" i="1"/>
  <c r="F15" i="1"/>
  <c r="D216" i="1"/>
  <c r="D310" i="1"/>
  <c r="D192" i="1"/>
  <c r="G28" i="1"/>
  <c r="H17" i="1"/>
  <c r="H15" i="1" s="1"/>
  <c r="L28" i="1"/>
  <c r="L15" i="1"/>
  <c r="E28" i="1"/>
  <c r="M34" i="1"/>
  <c r="D34" i="1" s="1"/>
  <c r="C144" i="1"/>
  <c r="G15" i="1"/>
  <c r="D76" i="1"/>
  <c r="D210" i="1"/>
  <c r="R15" i="1"/>
  <c r="M19" i="1"/>
  <c r="M15" i="1" s="1"/>
  <c r="J17" i="1"/>
  <c r="M22" i="1"/>
  <c r="H138" i="1"/>
  <c r="D141" i="1"/>
  <c r="K18" i="1"/>
  <c r="D18" i="1" s="1"/>
  <c r="K22" i="1"/>
  <c r="N19" i="1"/>
  <c r="N15" i="1" s="1"/>
  <c r="F28" i="1"/>
  <c r="J80" i="1"/>
  <c r="J75" i="1"/>
  <c r="J74" i="1" s="1"/>
  <c r="H22" i="1"/>
  <c r="J22" i="1"/>
  <c r="E20" i="1"/>
  <c r="D20" i="1" s="1"/>
  <c r="H80" i="1"/>
  <c r="H75" i="1"/>
  <c r="H74" i="1" s="1"/>
  <c r="K77" i="1"/>
  <c r="K31" i="1"/>
  <c r="D31" i="1" s="1"/>
  <c r="K86" i="1"/>
  <c r="D86" i="1" s="1"/>
  <c r="D89" i="1"/>
  <c r="D213" i="1"/>
  <c r="F80" i="1"/>
  <c r="F75" i="1"/>
  <c r="D81" i="1"/>
  <c r="D84" i="1"/>
  <c r="E78" i="1"/>
  <c r="K138" i="1"/>
  <c r="D140" i="1"/>
  <c r="P15" i="1"/>
  <c r="D22" i="1" l="1"/>
  <c r="Q15" i="1"/>
  <c r="D17" i="1"/>
  <c r="D138" i="1"/>
  <c r="D80" i="1"/>
  <c r="F74" i="1"/>
  <c r="D75" i="1"/>
  <c r="K28" i="1"/>
  <c r="D28" i="1" s="1"/>
  <c r="D78" i="1"/>
  <c r="E74" i="1"/>
  <c r="K74" i="1"/>
  <c r="D77" i="1"/>
  <c r="E15" i="1"/>
  <c r="K19" i="1"/>
  <c r="D19" i="1" s="1"/>
  <c r="D15" i="1" s="1"/>
  <c r="D74" i="1" l="1"/>
  <c r="K15" i="1"/>
</calcChain>
</file>

<file path=xl/sharedStrings.xml><?xml version="1.0" encoding="utf-8"?>
<sst xmlns="http://schemas.openxmlformats.org/spreadsheetml/2006/main" count="588" uniqueCount="117">
  <si>
    <t>Приложение № 2 к муниципальной Программе</t>
  </si>
  <si>
    <t xml:space="preserve">«Развитие физической культуры, спорта и молодежной </t>
  </si>
  <si>
    <t xml:space="preserve">План мероприятий муниципальной программы </t>
  </si>
  <si>
    <t>№ строки</t>
  </si>
  <si>
    <t>Наименование мероприятия/Источники расходов на финансирование подпрограмм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</si>
  <si>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</si>
  <si>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</si>
  <si>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</si>
  <si>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</si>
  <si>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</si>
  <si>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</si>
  <si>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</si>
  <si>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</si>
  <si>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</si>
  <si>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</si>
  <si>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</si>
  <si>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</si>
  <si>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</si>
  <si>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</si>
  <si>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ВСЕГО по муниципальной Программе,</t>
  </si>
  <si>
    <t>X</t>
  </si>
  <si>
    <t>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</si>
  <si>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</si>
  <si>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</si>
  <si>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</si>
  <si>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</si>
  <si>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Прочие нужды</t>
  </si>
  <si>
    <t>Х</t>
  </si>
  <si>
    <t>Капитальные вложения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</si>
  <si>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</si>
  <si>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</si>
  <si>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 xml:space="preserve">Мероприятие 1 </t>
  </si>
  <si>
    <t>4,5,6,8,9,11</t>
  </si>
  <si>
    <t>Организация, предоставления услуг (выполнения работ) в сфере физической культуры и спорта</t>
  </si>
  <si>
    <t>Мероприятие 2.</t>
  </si>
  <si>
    <t>Погашение кредиторской задолженности прошлых лет:</t>
  </si>
  <si>
    <t>Мероприятие 3.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</si>
  <si>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</si>
  <si>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Мероприятие 4. Ремонт зданий(помещений), спортивных сооружений МБУ "СОК"</t>
  </si>
  <si>
    <t>Подпрограмма 2. «Развитие инфраструктуры спортивных сооружений городского округа Нижняя Салда»</t>
  </si>
  <si>
    <t>ВСЕГО по Подпрограмме 2 муниципальной Программы, в том числе:</t>
  </si>
  <si>
    <t>федеральный  бюджет</t>
  </si>
  <si>
    <t xml:space="preserve"> 1. Капитальные вложения</t>
  </si>
  <si>
    <t>Всего по направлению "Капитальные вложения", в том числе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</si>
  <si>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</si>
  <si>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 в том числе</t>
  </si>
  <si>
    <t>Мероприятие 1.</t>
  </si>
  <si>
    <t>Развитие инфраструктуры спортивных сооружений</t>
  </si>
  <si>
    <t xml:space="preserve">Мероприятие 3. </t>
  </si>
  <si>
    <t>Строительство лыжной базы</t>
  </si>
  <si>
    <t>Мероприятие 4. Разработка проектно-сметной документации на строительство спортивного объекта</t>
  </si>
  <si>
    <t>федералный бюджет</t>
  </si>
  <si>
    <t>1.2. Прочие нужды</t>
  </si>
  <si>
    <t xml:space="preserve">Мероприятие 5. </t>
  </si>
  <si>
    <t>Создание спортивной площадки (оснащение спортивным оборудованием)</t>
  </si>
  <si>
    <t xml:space="preserve">Мероприятие 6. </t>
  </si>
  <si>
    <t>Выполнение работ, оказание услуг, приобретение материалов не учтенных проектом по мероприятию строительство лыжной базы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</si>
  <si>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</si>
  <si>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</si>
  <si>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</si>
  <si>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Развитие материально-технической базы для дополнительного образования детей детско-юношеской спортивной школы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</si>
  <si>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</si>
  <si>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Мероприятие 5. Проведение антитеррористических мероприятий</t>
  </si>
  <si>
    <t>Мероприятие 6.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</si>
  <si>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Мероприятие 7. Ремонт зданий (помещений), приведение в соответствии с требованиями пожарной безопасности МБУ ДО ДЮСШ</t>
  </si>
  <si>
    <t>Мероприятие 8. Строительство площадок уличного применения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</si>
  <si>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</si>
  <si>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</si>
  <si>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37,38,42,44,45,58</t>
  </si>
  <si>
    <t>Обеспечение осуществления мероприятий по работе с молодежью. ВСЕГО, в том числе:</t>
  </si>
  <si>
    <t>ВСЕГО по Подпрограмме 5 муниципальной Программы, в том числе:</t>
  </si>
  <si>
    <t>49,50,51</t>
  </si>
  <si>
    <t xml:space="preserve">Обеспечение деятельности аппарата управления молодежной политики и спорта </t>
  </si>
  <si>
    <t>49,50,51,53</t>
  </si>
  <si>
    <t>Обеспечение деятельности МКУ "ЦБУМПиС"</t>
  </si>
  <si>
    <t>Городские мероприятия в сфере спорта в том числе:</t>
  </si>
  <si>
    <t>Мероприятие 4.</t>
  </si>
  <si>
    <t xml:space="preserve">Мероприятие5. Субсидии социально-ориентированным некоммерческим организациям </t>
  </si>
  <si>
    <t>Подпрограмма 6.  «Патриотическое воспитание граждан в городском округе Нижняя Салда»</t>
  </si>
  <si>
    <t>ВСЕГО по Подпрограмме 6 муниципальной Программы, в том числе:</t>
  </si>
  <si>
    <t>Патриотическое воспитание граждан. Организация участия и проведения учебных сборов. ВСЕГО, в том числе: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</si>
  <si>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</si>
  <si>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</si>
  <si>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осуществления мероприятий по патриотическому воспитанию граждан. ВСЕГО, в том числе: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</si>
  <si>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</si>
  <si>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</si>
  <si>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Мероприятие 5.</t>
  </si>
  <si>
    <t>Подпрограмма 7. «Развитие добровольческого (волонтерского) движения в городском округе Нижняя Салда»</t>
  </si>
  <si>
    <t>ВСЕГО по Подпрограмме 7 муниципальной Программы, в том числе:</t>
  </si>
  <si>
    <t>Организация, и проведение мероприятий по поощрению добровольческого (волонтерского) движения в городском округе Нижняя Салда. ВСЕГО, в том числе:</t>
  </si>
  <si>
    <t>Подпрограмма 8. «Развитие сети учреждений по работе с молодежью в городском округе Нижняя Салда»</t>
  </si>
  <si>
    <t>ВСЕГО по Подпрограмме 8 муниципальной Программы, в том числе:</t>
  </si>
  <si>
    <t>Создание спортивных площадок (оснащение спортивным оборудованием) для занятий уличной гимнастикой. ВСЕГО, в том числе:</t>
  </si>
  <si>
    <t>политики в городском округе Нижняя Салда до 2027 года»</t>
  </si>
  <si>
    <t>2025 год</t>
  </si>
  <si>
    <t>2026 год</t>
  </si>
  <si>
    <t>2027 год</t>
  </si>
  <si>
    <t>«Развитие физической культуры, спорта и молодежной политики в городском округе Нижняя Салда до 2027 года»</t>
  </si>
  <si>
    <t>Мероприятие 5. Развитие материально-технической базы МБУ "СОК"</t>
  </si>
  <si>
    <t xml:space="preserve"> Разработка проектно-сметной документации </t>
  </si>
  <si>
    <t xml:space="preserve">Мероприятие 9. Внедрение механизмов инициативного бюджетирования на территории городского округа Нижняя Салда  в рамках инициативного проекта «Спорт-норма жизни» </t>
  </si>
  <si>
    <t>Подпрограмма 5. «Обеспечение реализации муниципальной программы «Развитие физической культуры, спорта и молодежной политики в городском округе Нижняя Салда до 2027 года»</t>
  </si>
  <si>
    <t>Организация и проведение мероприятий по профилактике экстремизма и терроризма в молодежной сфере. ВСЕГО, в том числе:</t>
  </si>
  <si>
    <t>26,27,28,32,33,68</t>
  </si>
  <si>
    <t>26,27,28,32,33,72</t>
  </si>
  <si>
    <t>26,27,28,72</t>
  </si>
  <si>
    <t>26,27,28,32,33</t>
  </si>
  <si>
    <t>26,27,28,37</t>
  </si>
  <si>
    <t>28,32,33,37,68</t>
  </si>
  <si>
    <t>26,27,28,32,33,37,68</t>
  </si>
  <si>
    <t>28,32,33,37</t>
  </si>
  <si>
    <t>4,9,10,21,22,32 44,49,53,57</t>
  </si>
  <si>
    <t>57,58,59,61,62,63</t>
  </si>
  <si>
    <t>26,27,72</t>
  </si>
  <si>
    <t>4,6,7,8,9,10,11,12,14,15,17,26,27,72</t>
  </si>
  <si>
    <t>26,50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</si>
  <si>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29.03.2024 №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</si>
</sst>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</font>
    <font>
      <sz val="9"/>
      <color rgb="FF000000"/>
      <name val="Calibri"/>
    </font>
    <font>
      <sz val="9"/>
      <name val="Calibri"/>
    </font>
    <font>
      <sz val="9"/>
      <color rgb="FFFF0000"/>
      <name val="Calibri"/>
    </font>
    <font>
      <sz val="14"/>
      <color rgb="FF000000"/>
      <name val="Calibri"/>
    </font>
    <font>
      <sz val="14"/>
      <name val="Times New Roman"/>
    </font>
    <font>
      <sz val="14"/>
      <name val="Calibri"/>
    </font>
    <font>
      <sz val="12"/>
      <name val="Times New Roman"/>
    </font>
    <font>
      <sz val="9"/>
      <color rgb="FF000000"/>
      <name val="Liberation Serif"/>
    </font>
    <font>
      <b/>
      <sz val="13"/>
      <name val="Liberation Serif"/>
    </font>
    <font>
      <sz val="13"/>
      <name val="Liberation Serif"/>
    </font>
    <font>
      <sz val="9"/>
      <color rgb="FFFF0000"/>
      <name val="Liberation Serif"/>
    </font>
    <font>
      <b/>
      <sz val="9"/>
      <color rgb="FF000000"/>
      <name val="Liberation Serif"/>
    </font>
    <font>
      <sz val="9"/>
      <name val="Liberation Serif"/>
    </font>
    <font>
      <sz val="14"/>
      <color rgb="FF000000"/>
      <name val="Liberation Serif"/>
    </font>
    <font>
      <b/>
      <sz val="14"/>
      <name val="Liberation Serif"/>
    </font>
    <font>
      <sz val="12"/>
      <name val="Liberation Serif"/>
    </font>
    <font>
      <sz val="8"/>
      <name val="Calibri"/>
    </font>
    <font>
      <sz val="10"/>
      <name val="Liberation Serif"/>
    </font>
    <font>
      <b/>
      <sz val="13"/>
      <name val="Liberation Serif"/>
      <family val="1"/>
      <charset val="204"/>
    </font>
    <font>
      <sz val="13"/>
      <name val="Liberation Serif"/>
      <family val="1"/>
      <charset val="204"/>
    </font>
    <font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/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rgb="FF99CCFF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4" fontId="10" fillId="0" borderId="18" xfId="0" applyNumberFormat="1" applyFont="1" applyBorder="1" applyAlignment="1">
      <alignment horizontal="right" vertical="center"/>
    </xf>
    <xf numFmtId="4" fontId="10" fillId="3" borderId="7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9" fillId="8" borderId="13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5" borderId="4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3" borderId="13" xfId="0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" fontId="9" fillId="5" borderId="5" xfId="0" applyNumberFormat="1" applyFont="1" applyFill="1" applyBorder="1" applyAlignment="1">
      <alignment horizontal="right" vertical="center" wrapText="1"/>
    </xf>
    <xf numFmtId="4" fontId="9" fillId="5" borderId="13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4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6"/>
  <sheetViews>
    <sheetView tabSelected="1" view="pageBreakPreview" zoomScale="70" zoomScaleNormal="70" zoomScaleSheetLayoutView="70" workbookViewId="0">
      <selection activeCell="N6" sqref="N6:S6"/>
    </sheetView>
  </sheetViews>
  <sheetFormatPr defaultColWidth="9.140625" defaultRowHeight="12" x14ac:dyDescent="0.25"/>
  <cols>
    <col min="1" max="1" width="5.85546875" style="2" customWidth="1"/>
    <col min="2" max="2" width="33.85546875" style="2" customWidth="1"/>
    <col min="3" max="3" width="0.42578125" style="2" hidden="1" customWidth="1"/>
    <col min="4" max="6" width="19.28515625" style="2" customWidth="1"/>
    <col min="7" max="7" width="18.5703125" style="2" customWidth="1"/>
    <col min="8" max="9" width="18.7109375" style="3" customWidth="1"/>
    <col min="10" max="10" width="18.42578125" style="2" customWidth="1"/>
    <col min="11" max="11" width="17.7109375" style="4" customWidth="1"/>
    <col min="12" max="12" width="17.85546875" style="2" customWidth="1"/>
    <col min="13" max="13" width="18" style="5" customWidth="1"/>
    <col min="14" max="14" width="21.5703125" style="95" customWidth="1"/>
    <col min="15" max="15" width="17.85546875" style="2" customWidth="1"/>
    <col min="16" max="16" width="19.28515625" style="2" customWidth="1"/>
    <col min="17" max="17" width="19" style="2" customWidth="1"/>
    <col min="18" max="18" width="13.28515625" style="2" customWidth="1"/>
    <col min="19" max="19" width="16.42578125" style="2" customWidth="1"/>
    <col min="20" max="20" width="9.140625" style="1" customWidth="1"/>
    <col min="21" max="16384" width="9.140625" style="1"/>
  </cols>
  <sheetData>
    <row r="1" spans="1:19" s="6" customFormat="1" ht="20.100000000000001" customHeight="1" x14ac:dyDescent="0.25">
      <c r="A1" s="7"/>
      <c r="B1" s="7"/>
      <c r="C1" s="7"/>
      <c r="D1" s="7"/>
      <c r="E1" s="7"/>
      <c r="F1" s="7"/>
      <c r="G1" s="7"/>
      <c r="H1" s="8"/>
      <c r="I1" s="9"/>
      <c r="J1" s="10"/>
      <c r="K1" s="10"/>
      <c r="L1" s="11"/>
      <c r="M1" s="12"/>
      <c r="N1" s="195" t="s">
        <v>116</v>
      </c>
      <c r="O1" s="195"/>
      <c r="P1" s="195"/>
      <c r="Q1" s="195"/>
      <c r="R1" s="195"/>
      <c r="S1" s="195"/>
    </row>
    <row r="2" spans="1:19" s="6" customFormat="1" ht="20.100000000000001" customHeight="1" x14ac:dyDescent="0.25">
      <c r="A2" s="7"/>
      <c r="B2" s="7"/>
      <c r="C2" s="7"/>
      <c r="D2" s="7"/>
      <c r="E2" s="7"/>
      <c r="F2" s="7"/>
      <c r="G2" s="7"/>
      <c r="H2" s="8"/>
      <c r="I2" s="9"/>
      <c r="J2" s="10"/>
      <c r="K2" s="10"/>
      <c r="L2" s="11"/>
      <c r="M2" s="12"/>
      <c r="N2" s="196"/>
      <c r="O2" s="196"/>
      <c r="P2" s="196"/>
      <c r="Q2" s="196"/>
      <c r="R2" s="196"/>
      <c r="S2" s="196"/>
    </row>
    <row r="3" spans="1:19" s="6" customFormat="1" ht="20.100000000000001" customHeight="1" x14ac:dyDescent="0.25">
      <c r="A3" s="7"/>
      <c r="B3" s="7"/>
      <c r="C3" s="7"/>
      <c r="D3" s="7"/>
      <c r="E3" s="7"/>
      <c r="F3" s="7"/>
      <c r="G3" s="7"/>
      <c r="H3" s="8"/>
      <c r="I3" s="9"/>
      <c r="J3" s="10"/>
      <c r="K3" s="10"/>
      <c r="L3" s="11"/>
      <c r="M3" s="12"/>
      <c r="N3" s="196"/>
      <c r="O3" s="196"/>
      <c r="P3" s="196"/>
      <c r="Q3" s="196"/>
      <c r="R3" s="196"/>
      <c r="S3" s="196"/>
    </row>
    <row r="4" spans="1:19" s="6" customFormat="1" ht="20.100000000000001" customHeight="1" x14ac:dyDescent="0.25">
      <c r="A4" s="13"/>
      <c r="B4" s="13"/>
      <c r="C4" s="13"/>
      <c r="D4" s="13"/>
      <c r="E4" s="13"/>
      <c r="F4" s="13"/>
      <c r="G4" s="13"/>
      <c r="H4" s="8"/>
      <c r="I4" s="14"/>
      <c r="J4" s="13"/>
      <c r="K4" s="13"/>
      <c r="L4" s="11"/>
      <c r="M4" s="12"/>
      <c r="N4" s="196"/>
      <c r="O4" s="196"/>
      <c r="P4" s="196"/>
      <c r="Q4" s="196"/>
      <c r="R4" s="196"/>
      <c r="S4" s="196"/>
    </row>
    <row r="5" spans="1:19" s="6" customFormat="1" ht="20.100000000000001" customHeight="1" x14ac:dyDescent="0.25">
      <c r="A5" s="13"/>
      <c r="B5" s="13"/>
      <c r="C5" s="13"/>
      <c r="D5" s="13"/>
      <c r="E5" s="13"/>
      <c r="F5" s="13"/>
      <c r="G5" s="13"/>
      <c r="H5" s="8"/>
      <c r="I5" s="14"/>
      <c r="J5" s="13"/>
      <c r="K5" s="13"/>
      <c r="L5" s="11"/>
      <c r="M5" s="12"/>
      <c r="N5" s="88"/>
      <c r="O5" s="81"/>
      <c r="P5" s="81"/>
      <c r="Q5" s="81"/>
      <c r="R5" s="81"/>
      <c r="S5" s="81"/>
    </row>
    <row r="6" spans="1:19" s="6" customFormat="1" ht="20.100000000000001" customHeight="1" x14ac:dyDescent="0.25">
      <c r="A6" s="15"/>
      <c r="B6" s="15"/>
      <c r="C6" s="15"/>
      <c r="D6" s="15"/>
      <c r="E6" s="15"/>
      <c r="F6" s="15"/>
      <c r="G6" s="15"/>
      <c r="H6" s="8"/>
      <c r="I6" s="16"/>
      <c r="J6" s="17"/>
      <c r="K6" s="17"/>
      <c r="L6" s="11"/>
      <c r="M6" s="12"/>
      <c r="N6" s="182" t="s">
        <v>0</v>
      </c>
      <c r="O6" s="182"/>
      <c r="P6" s="182"/>
      <c r="Q6" s="182"/>
      <c r="R6" s="182"/>
      <c r="S6" s="182"/>
    </row>
    <row r="7" spans="1:19" s="6" customFormat="1" ht="20.100000000000001" customHeight="1" x14ac:dyDescent="0.25">
      <c r="A7" s="15"/>
      <c r="B7" s="15"/>
      <c r="C7" s="15"/>
      <c r="D7" s="15"/>
      <c r="E7" s="15"/>
      <c r="F7" s="15"/>
      <c r="G7" s="15"/>
      <c r="H7" s="8"/>
      <c r="I7" s="16"/>
      <c r="J7" s="17"/>
      <c r="K7" s="17"/>
      <c r="L7" s="11"/>
      <c r="M7" s="12"/>
      <c r="N7" s="182" t="s">
        <v>1</v>
      </c>
      <c r="O7" s="182"/>
      <c r="P7" s="182"/>
      <c r="Q7" s="182"/>
      <c r="R7" s="182"/>
      <c r="S7" s="182"/>
    </row>
    <row r="8" spans="1:19" s="6" customFormat="1" ht="20.100000000000001" customHeight="1" x14ac:dyDescent="0.25">
      <c r="A8" s="15"/>
      <c r="B8" s="15"/>
      <c r="C8" s="15"/>
      <c r="D8" s="15"/>
      <c r="E8" s="15"/>
      <c r="F8" s="15"/>
      <c r="G8" s="15"/>
      <c r="H8" s="8"/>
      <c r="I8" s="16"/>
      <c r="J8" s="17"/>
      <c r="K8" s="17"/>
      <c r="L8" s="11"/>
      <c r="M8" s="12"/>
      <c r="N8" s="182" t="s">
        <v>93</v>
      </c>
      <c r="O8" s="182"/>
      <c r="P8" s="182"/>
      <c r="Q8" s="182"/>
      <c r="R8" s="182"/>
      <c r="S8" s="182"/>
    </row>
    <row r="9" spans="1:19" ht="15.75" customHeight="1" x14ac:dyDescent="0.25">
      <c r="A9" s="18"/>
      <c r="B9" s="18"/>
      <c r="C9" s="18"/>
      <c r="D9" s="18"/>
      <c r="E9" s="18"/>
      <c r="F9" s="18"/>
      <c r="G9" s="18"/>
      <c r="H9" s="19"/>
      <c r="I9" s="19"/>
      <c r="J9" s="20"/>
      <c r="K9" s="20"/>
      <c r="L9" s="20"/>
      <c r="M9" s="21"/>
      <c r="N9" s="89"/>
      <c r="O9" s="20"/>
      <c r="P9" s="20"/>
      <c r="Q9" s="20"/>
      <c r="R9" s="20"/>
      <c r="S9" s="20"/>
    </row>
    <row r="10" spans="1:19" s="22" customFormat="1" ht="16.5" customHeight="1" x14ac:dyDescent="0.25">
      <c r="A10" s="187" t="s">
        <v>2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</row>
    <row r="11" spans="1:19" s="22" customFormat="1" ht="18" customHeight="1" x14ac:dyDescent="0.25">
      <c r="A11" s="188" t="s">
        <v>97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</row>
    <row r="12" spans="1:19" s="22" customFormat="1" ht="45" customHeight="1" x14ac:dyDescent="0.25">
      <c r="A12" s="102" t="s">
        <v>3</v>
      </c>
      <c r="B12" s="102" t="s">
        <v>4</v>
      </c>
      <c r="C12" s="23"/>
      <c r="D12" s="122" t="s">
        <v>5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83" t="s">
        <v>6</v>
      </c>
    </row>
    <row r="13" spans="1:19" s="22" customFormat="1" ht="45.75" customHeight="1" x14ac:dyDescent="0.25">
      <c r="A13" s="103"/>
      <c r="B13" s="103"/>
      <c r="C13" s="23"/>
      <c r="D13" s="23" t="s">
        <v>7</v>
      </c>
      <c r="E13" s="23" t="s">
        <v>8</v>
      </c>
      <c r="F13" s="23" t="s">
        <v>9</v>
      </c>
      <c r="G13" s="23" t="s">
        <v>10</v>
      </c>
      <c r="H13" s="24" t="s">
        <v>11</v>
      </c>
      <c r="I13" s="24" t="s">
        <v>12</v>
      </c>
      <c r="J13" s="23" t="s">
        <v>13</v>
      </c>
      <c r="K13" s="23" t="s">
        <v>14</v>
      </c>
      <c r="L13" s="23" t="s">
        <v>15</v>
      </c>
      <c r="M13" s="25" t="s">
        <v>16</v>
      </c>
      <c r="N13" s="90" t="s">
        <v>17</v>
      </c>
      <c r="O13" s="23" t="s">
        <v>18</v>
      </c>
      <c r="P13" s="23" t="s">
        <v>94</v>
      </c>
      <c r="Q13" s="23" t="s">
        <v>95</v>
      </c>
      <c r="R13" s="23" t="s">
        <v>96</v>
      </c>
      <c r="S13" s="184"/>
    </row>
    <row r="14" spans="1:19" s="22" customFormat="1" ht="16.5" x14ac:dyDescent="0.25">
      <c r="A14" s="23">
        <v>1</v>
      </c>
      <c r="B14" s="168">
        <v>2</v>
      </c>
      <c r="C14" s="189"/>
      <c r="D14" s="23">
        <v>3</v>
      </c>
      <c r="E14" s="23">
        <v>4</v>
      </c>
      <c r="F14" s="23">
        <v>5</v>
      </c>
      <c r="G14" s="23">
        <v>6</v>
      </c>
      <c r="H14" s="24">
        <v>7</v>
      </c>
      <c r="I14" s="24">
        <v>8</v>
      </c>
      <c r="J14" s="23">
        <v>9</v>
      </c>
      <c r="K14" s="23">
        <v>10</v>
      </c>
      <c r="L14" s="23">
        <v>11</v>
      </c>
      <c r="M14" s="25">
        <v>12</v>
      </c>
      <c r="N14" s="90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</row>
    <row r="15" spans="1:19" s="22" customFormat="1" ht="50.25" customHeight="1" x14ac:dyDescent="0.25">
      <c r="A15" s="122">
        <v>1</v>
      </c>
      <c r="B15" s="26" t="s">
        <v>19</v>
      </c>
      <c r="C15" s="27"/>
      <c r="D15" s="104">
        <f>D19+D18+D20</f>
        <v>513994541.20000005</v>
      </c>
      <c r="E15" s="125">
        <f>SUM(E17:E20)</f>
        <v>14511418</v>
      </c>
      <c r="F15" s="125">
        <f>SUM(F17:F20)</f>
        <v>15620059.830000002</v>
      </c>
      <c r="G15" s="125">
        <f>SUM(G17:G20)</f>
        <v>17716061</v>
      </c>
      <c r="H15" s="125">
        <f>SUM(H17:H20)</f>
        <v>18566365</v>
      </c>
      <c r="I15" s="125">
        <f>SUM(I17:I20)</f>
        <v>38927118</v>
      </c>
      <c r="J15" s="125">
        <f>J19+J18</f>
        <v>50320545.049999997</v>
      </c>
      <c r="K15" s="125">
        <f>K19+K18+K20</f>
        <v>32137701.880000003</v>
      </c>
      <c r="L15" s="125">
        <f>L19+L18+L20</f>
        <v>52281643.439999998</v>
      </c>
      <c r="M15" s="180">
        <f>M19+M18+M20</f>
        <v>30774829</v>
      </c>
      <c r="N15" s="185">
        <f>N19+N18+N20</f>
        <v>51150721</v>
      </c>
      <c r="O15" s="125">
        <f t="shared" ref="O15:Q15" si="0">O19+O18+O20</f>
        <v>66133400</v>
      </c>
      <c r="P15" s="125">
        <f t="shared" si="0"/>
        <v>64406153</v>
      </c>
      <c r="Q15" s="125">
        <f t="shared" si="0"/>
        <v>61448526</v>
      </c>
      <c r="R15" s="125">
        <f t="shared" ref="R15" si="1">R19+R18+R20</f>
        <v>0</v>
      </c>
      <c r="S15" s="102" t="s">
        <v>20</v>
      </c>
    </row>
    <row r="16" spans="1:19" s="22" customFormat="1" ht="20.25" customHeight="1" x14ac:dyDescent="0.25">
      <c r="A16" s="159"/>
      <c r="B16" s="31" t="s">
        <v>21</v>
      </c>
      <c r="C16" s="32"/>
      <c r="D16" s="106"/>
      <c r="E16" s="126"/>
      <c r="F16" s="126"/>
      <c r="G16" s="126"/>
      <c r="H16" s="126"/>
      <c r="I16" s="126"/>
      <c r="J16" s="126"/>
      <c r="K16" s="126"/>
      <c r="L16" s="126"/>
      <c r="M16" s="181"/>
      <c r="N16" s="186"/>
      <c r="O16" s="126"/>
      <c r="P16" s="126"/>
      <c r="Q16" s="126"/>
      <c r="R16" s="126"/>
      <c r="S16" s="103"/>
    </row>
    <row r="17" spans="1:31" s="22" customFormat="1" ht="16.5" x14ac:dyDescent="0.25">
      <c r="A17" s="23">
        <f>A15+1</f>
        <v>2</v>
      </c>
      <c r="B17" s="113" t="s">
        <v>22</v>
      </c>
      <c r="C17" s="114"/>
      <c r="D17" s="29">
        <f>SUM(E17:R17)</f>
        <v>0</v>
      </c>
      <c r="E17" s="29">
        <f t="shared" ref="E17:O17" si="2">E23+E29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30">
        <f t="shared" si="2"/>
        <v>0</v>
      </c>
      <c r="N17" s="91">
        <f t="shared" si="2"/>
        <v>0</v>
      </c>
      <c r="O17" s="29">
        <f t="shared" si="2"/>
        <v>0</v>
      </c>
      <c r="P17" s="29">
        <f t="shared" ref="P17:R17" si="3">P23+P29</f>
        <v>0</v>
      </c>
      <c r="Q17" s="29">
        <f t="shared" si="3"/>
        <v>0</v>
      </c>
      <c r="R17" s="29">
        <f t="shared" si="3"/>
        <v>0</v>
      </c>
      <c r="S17" s="23" t="s">
        <v>20</v>
      </c>
    </row>
    <row r="18" spans="1:31" s="22" customFormat="1" ht="16.5" x14ac:dyDescent="0.25">
      <c r="A18" s="23">
        <f>A17+1</f>
        <v>3</v>
      </c>
      <c r="B18" s="111" t="s">
        <v>23</v>
      </c>
      <c r="C18" s="112"/>
      <c r="D18" s="29">
        <f>SUM(E18:R18)</f>
        <v>64178076.719999999</v>
      </c>
      <c r="E18" s="29">
        <f t="shared" ref="E18:O18" si="4">E24+E30</f>
        <v>162900</v>
      </c>
      <c r="F18" s="29">
        <f t="shared" si="4"/>
        <v>91000</v>
      </c>
      <c r="G18" s="29">
        <f t="shared" si="4"/>
        <v>87200</v>
      </c>
      <c r="H18" s="29">
        <f t="shared" si="4"/>
        <v>474609</v>
      </c>
      <c r="I18" s="29">
        <f t="shared" si="4"/>
        <v>13135538</v>
      </c>
      <c r="J18" s="29">
        <f t="shared" si="4"/>
        <v>22493451.84</v>
      </c>
      <c r="K18" s="29">
        <f t="shared" si="4"/>
        <v>4907965.4400000004</v>
      </c>
      <c r="L18" s="29">
        <f t="shared" si="4"/>
        <v>21447965.440000001</v>
      </c>
      <c r="M18" s="29">
        <f t="shared" si="4"/>
        <v>517629</v>
      </c>
      <c r="N18" s="91">
        <f t="shared" si="4"/>
        <v>737418</v>
      </c>
      <c r="O18" s="29">
        <f t="shared" si="4"/>
        <v>122400</v>
      </c>
      <c r="P18" s="29">
        <f t="shared" ref="P18:R18" si="5">P24+P30</f>
        <v>0</v>
      </c>
      <c r="Q18" s="29">
        <f t="shared" si="5"/>
        <v>0</v>
      </c>
      <c r="R18" s="29">
        <f t="shared" si="5"/>
        <v>0</v>
      </c>
      <c r="S18" s="23" t="s">
        <v>20</v>
      </c>
    </row>
    <row r="19" spans="1:31" s="22" customFormat="1" ht="16.5" x14ac:dyDescent="0.25">
      <c r="A19" s="23">
        <f>A18+1</f>
        <v>4</v>
      </c>
      <c r="B19" s="111" t="s">
        <v>24</v>
      </c>
      <c r="C19" s="112"/>
      <c r="D19" s="29">
        <f t="shared" ref="D19:D20" si="6">SUM(E19:R19)</f>
        <v>445443164.48000002</v>
      </c>
      <c r="E19" s="29">
        <f t="shared" ref="E19:O19" si="7">E25+E31</f>
        <v>14348518</v>
      </c>
      <c r="F19" s="29">
        <f t="shared" si="7"/>
        <v>15529059.830000002</v>
      </c>
      <c r="G19" s="29">
        <f t="shared" si="7"/>
        <v>17628861</v>
      </c>
      <c r="H19" s="29">
        <f t="shared" si="7"/>
        <v>18091756</v>
      </c>
      <c r="I19" s="29">
        <f t="shared" si="7"/>
        <v>25791580</v>
      </c>
      <c r="J19" s="29">
        <f t="shared" si="7"/>
        <v>27827093.210000001</v>
      </c>
      <c r="K19" s="29">
        <f t="shared" si="7"/>
        <v>27092736.440000001</v>
      </c>
      <c r="L19" s="29">
        <f t="shared" si="7"/>
        <v>30711678</v>
      </c>
      <c r="M19" s="29">
        <f t="shared" si="7"/>
        <v>30036200</v>
      </c>
      <c r="N19" s="91">
        <f t="shared" si="7"/>
        <v>48309003</v>
      </c>
      <c r="O19" s="29">
        <f t="shared" si="7"/>
        <v>64261000</v>
      </c>
      <c r="P19" s="29">
        <f t="shared" ref="P19:R19" si="8">P25+P31</f>
        <v>64386653</v>
      </c>
      <c r="Q19" s="29">
        <f t="shared" si="8"/>
        <v>61429026</v>
      </c>
      <c r="R19" s="29">
        <f t="shared" si="8"/>
        <v>0</v>
      </c>
      <c r="S19" s="23" t="s">
        <v>20</v>
      </c>
    </row>
    <row r="20" spans="1:31" s="22" customFormat="1" ht="16.5" x14ac:dyDescent="0.25">
      <c r="A20" s="23">
        <f>A19+1</f>
        <v>5</v>
      </c>
      <c r="B20" s="111" t="s">
        <v>25</v>
      </c>
      <c r="C20" s="112"/>
      <c r="D20" s="29">
        <f t="shared" si="6"/>
        <v>4373300</v>
      </c>
      <c r="E20" s="29">
        <f t="shared" ref="E20:O20" si="9">E26+E32</f>
        <v>0</v>
      </c>
      <c r="F20" s="29">
        <f t="shared" si="9"/>
        <v>0</v>
      </c>
      <c r="G20" s="29">
        <f t="shared" si="9"/>
        <v>0</v>
      </c>
      <c r="H20" s="29">
        <f t="shared" si="9"/>
        <v>0</v>
      </c>
      <c r="I20" s="29">
        <f t="shared" si="9"/>
        <v>0</v>
      </c>
      <c r="J20" s="29">
        <f t="shared" si="9"/>
        <v>0</v>
      </c>
      <c r="K20" s="29">
        <f t="shared" si="9"/>
        <v>137000</v>
      </c>
      <c r="L20" s="29">
        <f t="shared" si="9"/>
        <v>122000</v>
      </c>
      <c r="M20" s="29">
        <f t="shared" si="9"/>
        <v>221000</v>
      </c>
      <c r="N20" s="91">
        <f t="shared" si="9"/>
        <v>2104300</v>
      </c>
      <c r="O20" s="29">
        <f t="shared" si="9"/>
        <v>1750000</v>
      </c>
      <c r="P20" s="29">
        <f t="shared" ref="P20:R20" si="10">P26+P32</f>
        <v>19500</v>
      </c>
      <c r="Q20" s="29">
        <f t="shared" si="10"/>
        <v>19500</v>
      </c>
      <c r="R20" s="29">
        <f t="shared" si="10"/>
        <v>0</v>
      </c>
      <c r="S20" s="23" t="s">
        <v>20</v>
      </c>
    </row>
    <row r="21" spans="1:31" s="22" customFormat="1" ht="16.5" x14ac:dyDescent="0.25">
      <c r="A21" s="141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9"/>
    </row>
    <row r="22" spans="1:31" s="22" customFormat="1" ht="16.5" x14ac:dyDescent="0.25">
      <c r="A22" s="79">
        <f>A20+1</f>
        <v>6</v>
      </c>
      <c r="B22" s="34" t="s">
        <v>26</v>
      </c>
      <c r="C22" s="34"/>
      <c r="D22" s="28">
        <f>SUM(E22:R22)</f>
        <v>428657685.26999998</v>
      </c>
      <c r="E22" s="28">
        <f t="shared" ref="E22:Q22" si="11">SUM(E23:E26)</f>
        <v>14468856</v>
      </c>
      <c r="F22" s="28">
        <f t="shared" si="11"/>
        <v>15620059.830000002</v>
      </c>
      <c r="G22" s="28">
        <f t="shared" si="11"/>
        <v>16641202.5</v>
      </c>
      <c r="H22" s="28">
        <f t="shared" si="11"/>
        <v>17936661</v>
      </c>
      <c r="I22" s="28">
        <f t="shared" si="11"/>
        <v>23504818</v>
      </c>
      <c r="J22" s="28">
        <f t="shared" si="11"/>
        <v>20454613.210000001</v>
      </c>
      <c r="K22" s="28">
        <f t="shared" si="11"/>
        <v>23416362.690000001</v>
      </c>
      <c r="L22" s="28">
        <f t="shared" si="11"/>
        <v>25892783.039999999</v>
      </c>
      <c r="M22" s="35">
        <f t="shared" si="11"/>
        <v>30774829</v>
      </c>
      <c r="N22" s="92">
        <f t="shared" si="11"/>
        <v>51150721</v>
      </c>
      <c r="O22" s="28">
        <f t="shared" si="11"/>
        <v>63733400</v>
      </c>
      <c r="P22" s="28">
        <f t="shared" si="11"/>
        <v>64000553</v>
      </c>
      <c r="Q22" s="28">
        <f t="shared" si="11"/>
        <v>61062826</v>
      </c>
      <c r="R22" s="28">
        <f t="shared" ref="R22" si="12">SUM(R23:R26)</f>
        <v>0</v>
      </c>
      <c r="S22" s="23" t="s">
        <v>27</v>
      </c>
    </row>
    <row r="23" spans="1:31" s="22" customFormat="1" ht="16.5" x14ac:dyDescent="0.25">
      <c r="A23" s="23">
        <f>A22+1</f>
        <v>7</v>
      </c>
      <c r="B23" s="111" t="s">
        <v>22</v>
      </c>
      <c r="C23" s="112"/>
      <c r="D23" s="28">
        <f t="shared" ref="D23:D26" si="13">SUM(E23:R23)</f>
        <v>0</v>
      </c>
      <c r="E23" s="29">
        <f t="shared" ref="E23:K23" si="14">E41+E145+E199+E217+E255</f>
        <v>0</v>
      </c>
      <c r="F23" s="29">
        <f t="shared" si="14"/>
        <v>0</v>
      </c>
      <c r="G23" s="29">
        <f t="shared" si="14"/>
        <v>0</v>
      </c>
      <c r="H23" s="29">
        <f t="shared" si="14"/>
        <v>0</v>
      </c>
      <c r="I23" s="29">
        <f t="shared" si="14"/>
        <v>0</v>
      </c>
      <c r="J23" s="29">
        <f t="shared" si="14"/>
        <v>0</v>
      </c>
      <c r="K23" s="29">
        <f t="shared" si="14"/>
        <v>0</v>
      </c>
      <c r="L23" s="29">
        <v>0</v>
      </c>
      <c r="M23" s="30">
        <v>0</v>
      </c>
      <c r="N23" s="91">
        <v>0</v>
      </c>
      <c r="O23" s="29">
        <v>0</v>
      </c>
      <c r="P23" s="29">
        <v>0</v>
      </c>
      <c r="Q23" s="29">
        <v>0</v>
      </c>
      <c r="R23" s="29">
        <v>0</v>
      </c>
      <c r="S23" s="23" t="s">
        <v>27</v>
      </c>
    </row>
    <row r="24" spans="1:31" s="22" customFormat="1" ht="16.5" x14ac:dyDescent="0.25">
      <c r="A24" s="23">
        <f t="shared" ref="A24:A26" si="15">A23+1</f>
        <v>8</v>
      </c>
      <c r="B24" s="111" t="s">
        <v>23</v>
      </c>
      <c r="C24" s="112"/>
      <c r="D24" s="28">
        <f t="shared" si="13"/>
        <v>3556794</v>
      </c>
      <c r="E24" s="29">
        <f t="shared" ref="E24:G26" si="16">E42+E146+E200+E218+E256</f>
        <v>162900</v>
      </c>
      <c r="F24" s="29">
        <f t="shared" si="16"/>
        <v>91000</v>
      </c>
      <c r="G24" s="29">
        <f t="shared" si="16"/>
        <v>87200</v>
      </c>
      <c r="H24" s="29">
        <f>H42+H146+H200+H256+H218+H76</f>
        <v>474609</v>
      </c>
      <c r="I24" s="29">
        <f>I42+I146+I200+I218+I256+I82</f>
        <v>785538</v>
      </c>
      <c r="J24" s="29">
        <f>J42+J146+J200+J218+J256</f>
        <v>127600</v>
      </c>
      <c r="K24" s="29">
        <f>K42+K146+K200+K218+K256+K82</f>
        <v>320100</v>
      </c>
      <c r="L24" s="29">
        <f>L42+L146+L200+L218+L256+L82</f>
        <v>130400</v>
      </c>
      <c r="M24" s="30">
        <f>M42+M146+M200+M218+M256+M82</f>
        <v>517629</v>
      </c>
      <c r="N24" s="91">
        <f>N42+N146+N200+N218+N256+N82</f>
        <v>737418</v>
      </c>
      <c r="O24" s="29">
        <f t="shared" ref="O24" si="17">O42+O146+O200+O218+O256+O82</f>
        <v>122400</v>
      </c>
      <c r="P24" s="29">
        <f t="shared" ref="P24:R24" si="18">P42+P146+P200+P218+P256+P82</f>
        <v>0</v>
      </c>
      <c r="Q24" s="29">
        <f t="shared" si="18"/>
        <v>0</v>
      </c>
      <c r="R24" s="29">
        <f t="shared" si="18"/>
        <v>0</v>
      </c>
      <c r="S24" s="23" t="s">
        <v>27</v>
      </c>
    </row>
    <row r="25" spans="1:31" s="22" customFormat="1" ht="16.5" x14ac:dyDescent="0.25">
      <c r="A25" s="23">
        <f t="shared" si="15"/>
        <v>9</v>
      </c>
      <c r="B25" s="111" t="s">
        <v>24</v>
      </c>
      <c r="C25" s="112"/>
      <c r="D25" s="28">
        <f t="shared" si="13"/>
        <v>420727591.26999998</v>
      </c>
      <c r="E25" s="29">
        <f t="shared" si="16"/>
        <v>14305956</v>
      </c>
      <c r="F25" s="29">
        <f t="shared" si="16"/>
        <v>15529059.830000002</v>
      </c>
      <c r="G25" s="29">
        <f t="shared" si="16"/>
        <v>16554002.5</v>
      </c>
      <c r="H25" s="29">
        <f>H43+H147+H201+H219+H257+H83</f>
        <v>17462052</v>
      </c>
      <c r="I25" s="29">
        <f>I43+I147+I201+I219+I257+I83</f>
        <v>22719280</v>
      </c>
      <c r="J25" s="29">
        <f>J43+J83+J147+J201+J219+J257</f>
        <v>20327013.210000001</v>
      </c>
      <c r="K25" s="29">
        <f>K43+K83+K147+K201+K219+K257</f>
        <v>22959262.690000001</v>
      </c>
      <c r="L25" s="29">
        <f>L43+L83+L147+L201+L219+L257</f>
        <v>25640383.039999999</v>
      </c>
      <c r="M25" s="30">
        <f>M43+M83+M147+M201+M219+M257+M301+M319</f>
        <v>30036200</v>
      </c>
      <c r="N25" s="91">
        <f>N43+N83+N147+N201+N219+N257+N301+N319</f>
        <v>48309003</v>
      </c>
      <c r="O25" s="29">
        <f>O43+O83+O147+O201+O219+O257+O301+O319</f>
        <v>61861000</v>
      </c>
      <c r="P25" s="29">
        <f t="shared" ref="P25:R25" si="19">P43+P83+P147+P201+P219+P257+P301+P319</f>
        <v>63981053</v>
      </c>
      <c r="Q25" s="29">
        <f t="shared" si="19"/>
        <v>61043326</v>
      </c>
      <c r="R25" s="29">
        <f t="shared" si="19"/>
        <v>0</v>
      </c>
      <c r="S25" s="23" t="s">
        <v>27</v>
      </c>
    </row>
    <row r="26" spans="1:31" s="22" customFormat="1" ht="16.5" x14ac:dyDescent="0.25">
      <c r="A26" s="23">
        <f t="shared" si="15"/>
        <v>10</v>
      </c>
      <c r="B26" s="111" t="s">
        <v>25</v>
      </c>
      <c r="C26" s="112"/>
      <c r="D26" s="28">
        <f t="shared" si="13"/>
        <v>4373300</v>
      </c>
      <c r="E26" s="29">
        <f t="shared" si="16"/>
        <v>0</v>
      </c>
      <c r="F26" s="29">
        <f t="shared" si="16"/>
        <v>0</v>
      </c>
      <c r="G26" s="29">
        <f t="shared" si="16"/>
        <v>0</v>
      </c>
      <c r="H26" s="29">
        <f t="shared" ref="H26:N26" si="20">H44+H148+H202+H220+H258</f>
        <v>0</v>
      </c>
      <c r="I26" s="29">
        <f t="shared" si="20"/>
        <v>0</v>
      </c>
      <c r="J26" s="29">
        <f t="shared" si="20"/>
        <v>0</v>
      </c>
      <c r="K26" s="29">
        <f t="shared" si="20"/>
        <v>137000</v>
      </c>
      <c r="L26" s="29">
        <f t="shared" si="20"/>
        <v>122000</v>
      </c>
      <c r="M26" s="30">
        <f t="shared" si="20"/>
        <v>221000</v>
      </c>
      <c r="N26" s="91">
        <f t="shared" si="20"/>
        <v>2104300</v>
      </c>
      <c r="O26" s="29">
        <f t="shared" ref="O26" si="21">O44+O148+O202+O220+O258</f>
        <v>1750000</v>
      </c>
      <c r="P26" s="29">
        <f t="shared" ref="P26:R26" si="22">P44+P148+P202+P220+P258</f>
        <v>19500</v>
      </c>
      <c r="Q26" s="29">
        <f t="shared" si="22"/>
        <v>19500</v>
      </c>
      <c r="R26" s="29">
        <f t="shared" si="22"/>
        <v>0</v>
      </c>
      <c r="S26" s="23" t="s">
        <v>27</v>
      </c>
    </row>
    <row r="27" spans="1:31" s="22" customFormat="1" ht="16.5" x14ac:dyDescent="0.25">
      <c r="A27" s="119" t="s">
        <v>28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</row>
    <row r="28" spans="1:31" s="22" customFormat="1" ht="16.5" x14ac:dyDescent="0.25">
      <c r="A28" s="23">
        <f>A26+1</f>
        <v>11</v>
      </c>
      <c r="B28" s="34" t="s">
        <v>28</v>
      </c>
      <c r="C28" s="23"/>
      <c r="D28" s="28">
        <f>SUM(E28:R28)</f>
        <v>85336855.930000007</v>
      </c>
      <c r="E28" s="28">
        <f t="shared" ref="E28:Q28" si="23">SUM(E29:E32)</f>
        <v>42562</v>
      </c>
      <c r="F28" s="28">
        <f t="shared" si="23"/>
        <v>0</v>
      </c>
      <c r="G28" s="28">
        <f t="shared" si="23"/>
        <v>1074858.5</v>
      </c>
      <c r="H28" s="28">
        <f t="shared" si="23"/>
        <v>629704</v>
      </c>
      <c r="I28" s="28">
        <f t="shared" si="23"/>
        <v>15422300</v>
      </c>
      <c r="J28" s="28">
        <f t="shared" si="23"/>
        <v>29865931.84</v>
      </c>
      <c r="K28" s="28">
        <f t="shared" si="23"/>
        <v>8721339.1900000013</v>
      </c>
      <c r="L28" s="28">
        <f t="shared" si="23"/>
        <v>26388860.400000002</v>
      </c>
      <c r="M28" s="35">
        <f t="shared" si="23"/>
        <v>0</v>
      </c>
      <c r="N28" s="92">
        <f t="shared" si="23"/>
        <v>0</v>
      </c>
      <c r="O28" s="28">
        <f t="shared" si="23"/>
        <v>2400000</v>
      </c>
      <c r="P28" s="28">
        <f t="shared" si="23"/>
        <v>405600</v>
      </c>
      <c r="Q28" s="28">
        <f t="shared" si="23"/>
        <v>385700</v>
      </c>
      <c r="R28" s="28">
        <f t="shared" ref="R28" si="24">SUM(R29:R32)</f>
        <v>0</v>
      </c>
      <c r="S28" s="102" t="s">
        <v>103</v>
      </c>
    </row>
    <row r="29" spans="1:31" s="22" customFormat="1" ht="16.5" x14ac:dyDescent="0.25">
      <c r="A29" s="23">
        <f>A28+1</f>
        <v>12</v>
      </c>
      <c r="B29" s="111" t="s">
        <v>22</v>
      </c>
      <c r="C29" s="112"/>
      <c r="D29" s="28">
        <f t="shared" ref="D29:D32" si="25">SUM(E29:R29)</f>
        <v>0</v>
      </c>
      <c r="E29" s="29">
        <f t="shared" ref="E29:O29" si="26">E87</f>
        <v>0</v>
      </c>
      <c r="F29" s="29">
        <f t="shared" si="26"/>
        <v>0</v>
      </c>
      <c r="G29" s="29">
        <f t="shared" si="26"/>
        <v>0</v>
      </c>
      <c r="H29" s="29">
        <f t="shared" si="26"/>
        <v>0</v>
      </c>
      <c r="I29" s="29">
        <f t="shared" si="26"/>
        <v>0</v>
      </c>
      <c r="J29" s="29">
        <f t="shared" si="26"/>
        <v>0</v>
      </c>
      <c r="K29" s="29">
        <f t="shared" si="26"/>
        <v>0</v>
      </c>
      <c r="L29" s="29">
        <f t="shared" si="26"/>
        <v>0</v>
      </c>
      <c r="M29" s="30">
        <f t="shared" si="26"/>
        <v>0</v>
      </c>
      <c r="N29" s="91">
        <f t="shared" si="26"/>
        <v>0</v>
      </c>
      <c r="O29" s="29">
        <f t="shared" si="26"/>
        <v>0</v>
      </c>
      <c r="P29" s="29">
        <f t="shared" ref="P29:R29" si="27">P87</f>
        <v>0</v>
      </c>
      <c r="Q29" s="29">
        <f t="shared" si="27"/>
        <v>0</v>
      </c>
      <c r="R29" s="29">
        <f t="shared" si="27"/>
        <v>0</v>
      </c>
      <c r="S29" s="103"/>
    </row>
    <row r="30" spans="1:31" s="36" customFormat="1" ht="16.5" x14ac:dyDescent="0.25">
      <c r="A30" s="23">
        <f t="shared" ref="A30:A32" si="28">A29+1</f>
        <v>13</v>
      </c>
      <c r="B30" s="111" t="s">
        <v>23</v>
      </c>
      <c r="C30" s="112"/>
      <c r="D30" s="28">
        <f t="shared" si="25"/>
        <v>60621282.719999999</v>
      </c>
      <c r="E30" s="29">
        <f t="shared" ref="E30:O30" si="29">E88</f>
        <v>0</v>
      </c>
      <c r="F30" s="29">
        <f t="shared" si="29"/>
        <v>0</v>
      </c>
      <c r="G30" s="29">
        <f t="shared" si="29"/>
        <v>0</v>
      </c>
      <c r="H30" s="29">
        <f t="shared" si="29"/>
        <v>0</v>
      </c>
      <c r="I30" s="29">
        <f t="shared" si="29"/>
        <v>12350000</v>
      </c>
      <c r="J30" s="29">
        <f t="shared" si="29"/>
        <v>22365851.84</v>
      </c>
      <c r="K30" s="29">
        <f t="shared" si="29"/>
        <v>4587865.4400000004</v>
      </c>
      <c r="L30" s="29">
        <f t="shared" si="29"/>
        <v>21317565.440000001</v>
      </c>
      <c r="M30" s="30">
        <f t="shared" si="29"/>
        <v>0</v>
      </c>
      <c r="N30" s="91">
        <f t="shared" si="29"/>
        <v>0</v>
      </c>
      <c r="O30" s="29">
        <f t="shared" si="29"/>
        <v>0</v>
      </c>
      <c r="P30" s="29">
        <f t="shared" ref="P30:R30" si="30">P88</f>
        <v>0</v>
      </c>
      <c r="Q30" s="29">
        <f t="shared" si="30"/>
        <v>0</v>
      </c>
      <c r="R30" s="29">
        <f t="shared" si="30"/>
        <v>0</v>
      </c>
      <c r="S30" s="23" t="s">
        <v>20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2" customFormat="1" ht="16.5" x14ac:dyDescent="0.25">
      <c r="A31" s="23">
        <f t="shared" si="28"/>
        <v>14</v>
      </c>
      <c r="B31" s="111" t="s">
        <v>24</v>
      </c>
      <c r="C31" s="112"/>
      <c r="D31" s="28">
        <f t="shared" si="25"/>
        <v>24715573.210000001</v>
      </c>
      <c r="E31" s="29">
        <f t="shared" ref="E31:R31" si="31">E89</f>
        <v>42562</v>
      </c>
      <c r="F31" s="29">
        <f t="shared" si="31"/>
        <v>0</v>
      </c>
      <c r="G31" s="29">
        <f t="shared" si="31"/>
        <v>1074858.5</v>
      </c>
      <c r="H31" s="29">
        <f t="shared" si="31"/>
        <v>629704</v>
      </c>
      <c r="I31" s="29">
        <f t="shared" si="31"/>
        <v>3072300</v>
      </c>
      <c r="J31" s="29">
        <f t="shared" si="31"/>
        <v>7500080</v>
      </c>
      <c r="K31" s="29">
        <f t="shared" si="31"/>
        <v>4133473.75</v>
      </c>
      <c r="L31" s="29">
        <f t="shared" si="31"/>
        <v>5071294.96</v>
      </c>
      <c r="M31" s="30">
        <f t="shared" si="31"/>
        <v>0</v>
      </c>
      <c r="N31" s="91">
        <f t="shared" si="31"/>
        <v>0</v>
      </c>
      <c r="O31" s="29">
        <f t="shared" si="31"/>
        <v>2400000</v>
      </c>
      <c r="P31" s="29">
        <f t="shared" si="31"/>
        <v>405600</v>
      </c>
      <c r="Q31" s="29">
        <f t="shared" si="31"/>
        <v>385700</v>
      </c>
      <c r="R31" s="29">
        <f t="shared" si="31"/>
        <v>0</v>
      </c>
      <c r="S31" s="23" t="s">
        <v>20</v>
      </c>
    </row>
    <row r="32" spans="1:31" s="22" customFormat="1" ht="16.5" x14ac:dyDescent="0.25">
      <c r="A32" s="23">
        <f t="shared" si="28"/>
        <v>15</v>
      </c>
      <c r="B32" s="111" t="s">
        <v>25</v>
      </c>
      <c r="C32" s="112"/>
      <c r="D32" s="28">
        <f t="shared" si="25"/>
        <v>0</v>
      </c>
      <c r="E32" s="29">
        <f t="shared" ref="E32:K32" si="32">E90</f>
        <v>0</v>
      </c>
      <c r="F32" s="29">
        <f t="shared" si="32"/>
        <v>0</v>
      </c>
      <c r="G32" s="29">
        <f t="shared" si="32"/>
        <v>0</v>
      </c>
      <c r="H32" s="29">
        <f t="shared" si="32"/>
        <v>0</v>
      </c>
      <c r="I32" s="29">
        <f t="shared" si="32"/>
        <v>0</v>
      </c>
      <c r="J32" s="29">
        <f t="shared" si="32"/>
        <v>0</v>
      </c>
      <c r="K32" s="29">
        <f t="shared" si="32"/>
        <v>0</v>
      </c>
      <c r="L32" s="29">
        <v>0</v>
      </c>
      <c r="M32" s="30">
        <v>0</v>
      </c>
      <c r="N32" s="91">
        <v>0</v>
      </c>
      <c r="O32" s="29">
        <v>0</v>
      </c>
      <c r="P32" s="29">
        <v>0</v>
      </c>
      <c r="Q32" s="29">
        <v>0</v>
      </c>
      <c r="R32" s="29">
        <v>0</v>
      </c>
      <c r="S32" s="23" t="s">
        <v>20</v>
      </c>
    </row>
    <row r="33" spans="1:31" s="22" customFormat="1" ht="21" customHeight="1" x14ac:dyDescent="0.25">
      <c r="A33" s="119" t="s">
        <v>29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</row>
    <row r="34" spans="1:31" s="22" customFormat="1" ht="93" customHeight="1" x14ac:dyDescent="0.25">
      <c r="A34" s="23">
        <f>A32+1</f>
        <v>16</v>
      </c>
      <c r="B34" s="119" t="s">
        <v>30</v>
      </c>
      <c r="C34" s="121"/>
      <c r="D34" s="28">
        <f>SUM(E34:R34)</f>
        <v>205499727.09</v>
      </c>
      <c r="E34" s="28">
        <f t="shared" ref="E34:Q34" si="33">SUM(E35:E38)</f>
        <v>6001306</v>
      </c>
      <c r="F34" s="28">
        <f t="shared" si="33"/>
        <v>7717583.8100000005</v>
      </c>
      <c r="G34" s="28">
        <f t="shared" si="33"/>
        <v>7655964.5</v>
      </c>
      <c r="H34" s="37">
        <f t="shared" si="33"/>
        <v>7602127</v>
      </c>
      <c r="I34" s="37">
        <f t="shared" si="33"/>
        <v>8986712.5700000003</v>
      </c>
      <c r="J34" s="28">
        <f t="shared" si="33"/>
        <v>8470678.2100000009</v>
      </c>
      <c r="K34" s="28">
        <f t="shared" si="33"/>
        <v>8947546</v>
      </c>
      <c r="L34" s="28">
        <f t="shared" si="33"/>
        <v>8854308</v>
      </c>
      <c r="M34" s="35">
        <f t="shared" si="33"/>
        <v>9806682</v>
      </c>
      <c r="N34" s="92">
        <f t="shared" si="33"/>
        <v>25995187</v>
      </c>
      <c r="O34" s="28">
        <f t="shared" si="33"/>
        <v>35644869</v>
      </c>
      <c r="P34" s="28">
        <f t="shared" si="33"/>
        <v>35785784</v>
      </c>
      <c r="Q34" s="28">
        <f t="shared" si="33"/>
        <v>34030979</v>
      </c>
      <c r="R34" s="28">
        <f t="shared" ref="R34" si="34">SUM(R35:R38)</f>
        <v>0</v>
      </c>
      <c r="S34" s="23" t="s">
        <v>20</v>
      </c>
    </row>
    <row r="35" spans="1:31" s="22" customFormat="1" ht="16.5" x14ac:dyDescent="0.25">
      <c r="A35" s="23">
        <f>A34+1</f>
        <v>17</v>
      </c>
      <c r="B35" s="111" t="s">
        <v>22</v>
      </c>
      <c r="C35" s="112"/>
      <c r="D35" s="28">
        <f t="shared" ref="D35:D38" si="35">SUM(E35:R35)</f>
        <v>0</v>
      </c>
      <c r="E35" s="29">
        <f t="shared" ref="E35:O35" si="36">E41</f>
        <v>0</v>
      </c>
      <c r="F35" s="29">
        <f t="shared" si="36"/>
        <v>0</v>
      </c>
      <c r="G35" s="29">
        <f t="shared" si="36"/>
        <v>0</v>
      </c>
      <c r="H35" s="38">
        <f t="shared" si="36"/>
        <v>0</v>
      </c>
      <c r="I35" s="38">
        <f t="shared" si="36"/>
        <v>0</v>
      </c>
      <c r="J35" s="29">
        <f t="shared" si="36"/>
        <v>0</v>
      </c>
      <c r="K35" s="29">
        <f t="shared" si="36"/>
        <v>0</v>
      </c>
      <c r="L35" s="29">
        <f t="shared" si="36"/>
        <v>0</v>
      </c>
      <c r="M35" s="30">
        <f t="shared" si="36"/>
        <v>0</v>
      </c>
      <c r="N35" s="91">
        <f t="shared" si="36"/>
        <v>0</v>
      </c>
      <c r="O35" s="29">
        <f t="shared" si="36"/>
        <v>0</v>
      </c>
      <c r="P35" s="29">
        <f t="shared" ref="P35:R35" si="37">P41</f>
        <v>0</v>
      </c>
      <c r="Q35" s="29">
        <f t="shared" si="37"/>
        <v>0</v>
      </c>
      <c r="R35" s="29">
        <f t="shared" si="37"/>
        <v>0</v>
      </c>
      <c r="S35" s="23" t="s">
        <v>20</v>
      </c>
    </row>
    <row r="36" spans="1:31" s="36" customFormat="1" ht="16.5" x14ac:dyDescent="0.25">
      <c r="A36" s="23">
        <f t="shared" ref="A36:A38" si="38">A35+1</f>
        <v>18</v>
      </c>
      <c r="B36" s="111" t="s">
        <v>23</v>
      </c>
      <c r="C36" s="112"/>
      <c r="D36" s="28">
        <f t="shared" si="35"/>
        <v>1474700.57</v>
      </c>
      <c r="E36" s="29">
        <v>0</v>
      </c>
      <c r="F36" s="29">
        <f t="shared" ref="F36:N36" si="39">F42</f>
        <v>0</v>
      </c>
      <c r="G36" s="29">
        <f t="shared" si="39"/>
        <v>0</v>
      </c>
      <c r="H36" s="38">
        <f t="shared" si="39"/>
        <v>0</v>
      </c>
      <c r="I36" s="38">
        <f t="shared" si="39"/>
        <v>409650.57</v>
      </c>
      <c r="J36" s="29">
        <f t="shared" si="39"/>
        <v>113600</v>
      </c>
      <c r="K36" s="29">
        <f t="shared" si="39"/>
        <v>119500</v>
      </c>
      <c r="L36" s="29">
        <f t="shared" si="39"/>
        <v>130400</v>
      </c>
      <c r="M36" s="30">
        <f t="shared" si="39"/>
        <v>281306</v>
      </c>
      <c r="N36" s="91">
        <f t="shared" si="39"/>
        <v>297844</v>
      </c>
      <c r="O36" s="29">
        <f t="shared" ref="O36" si="40">O42</f>
        <v>122400</v>
      </c>
      <c r="P36" s="29">
        <f t="shared" ref="P36:R36" si="41">P42</f>
        <v>0</v>
      </c>
      <c r="Q36" s="29">
        <f t="shared" si="41"/>
        <v>0</v>
      </c>
      <c r="R36" s="29">
        <f t="shared" si="41"/>
        <v>0</v>
      </c>
      <c r="S36" s="23" t="s">
        <v>20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36" customFormat="1" ht="16.5" x14ac:dyDescent="0.25">
      <c r="A37" s="23">
        <f t="shared" si="38"/>
        <v>19</v>
      </c>
      <c r="B37" s="111" t="s">
        <v>24</v>
      </c>
      <c r="C37" s="112"/>
      <c r="D37" s="28">
        <f t="shared" si="35"/>
        <v>200539026.52000001</v>
      </c>
      <c r="E37" s="29">
        <f>E43</f>
        <v>6001306</v>
      </c>
      <c r="F37" s="29">
        <f t="shared" ref="F37:M37" si="42">F43</f>
        <v>7717583.8100000005</v>
      </c>
      <c r="G37" s="29">
        <f t="shared" si="42"/>
        <v>7655964.5</v>
      </c>
      <c r="H37" s="38">
        <f t="shared" si="42"/>
        <v>7602127</v>
      </c>
      <c r="I37" s="38">
        <f t="shared" si="42"/>
        <v>8577062</v>
      </c>
      <c r="J37" s="29">
        <f t="shared" si="42"/>
        <v>8357078.21</v>
      </c>
      <c r="K37" s="29">
        <f t="shared" si="42"/>
        <v>8768046</v>
      </c>
      <c r="L37" s="29">
        <f t="shared" si="42"/>
        <v>8678908</v>
      </c>
      <c r="M37" s="30">
        <f t="shared" si="42"/>
        <v>9449376</v>
      </c>
      <c r="N37" s="91">
        <f t="shared" ref="N37" si="43">N43</f>
        <v>24081343</v>
      </c>
      <c r="O37" s="29">
        <f t="shared" ref="O37" si="44">O43</f>
        <v>33872469</v>
      </c>
      <c r="P37" s="29">
        <f t="shared" ref="P37:R37" si="45">P43</f>
        <v>35766284</v>
      </c>
      <c r="Q37" s="29">
        <f t="shared" si="45"/>
        <v>34011479</v>
      </c>
      <c r="R37" s="29">
        <f t="shared" si="45"/>
        <v>0</v>
      </c>
      <c r="S37" s="23" t="s">
        <v>20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2" customFormat="1" ht="16.5" x14ac:dyDescent="0.25">
      <c r="A38" s="23">
        <f t="shared" si="38"/>
        <v>20</v>
      </c>
      <c r="B38" s="111" t="s">
        <v>25</v>
      </c>
      <c r="C38" s="112"/>
      <c r="D38" s="28">
        <f t="shared" si="35"/>
        <v>3486000</v>
      </c>
      <c r="E38" s="29">
        <f>E44</f>
        <v>0</v>
      </c>
      <c r="F38" s="29">
        <f t="shared" ref="F38:M38" si="46">F44</f>
        <v>0</v>
      </c>
      <c r="G38" s="29">
        <f t="shared" si="46"/>
        <v>0</v>
      </c>
      <c r="H38" s="38">
        <f t="shared" si="46"/>
        <v>0</v>
      </c>
      <c r="I38" s="38">
        <f t="shared" si="46"/>
        <v>0</v>
      </c>
      <c r="J38" s="29">
        <f t="shared" si="46"/>
        <v>0</v>
      </c>
      <c r="K38" s="29">
        <f t="shared" si="46"/>
        <v>60000</v>
      </c>
      <c r="L38" s="29">
        <f t="shared" si="46"/>
        <v>45000</v>
      </c>
      <c r="M38" s="30">
        <f t="shared" si="46"/>
        <v>76000</v>
      </c>
      <c r="N38" s="91">
        <f t="shared" ref="N38" si="47">N44</f>
        <v>1616000</v>
      </c>
      <c r="O38" s="29">
        <f t="shared" ref="O38" si="48">O44</f>
        <v>1650000</v>
      </c>
      <c r="P38" s="29">
        <f t="shared" ref="P38:R38" si="49">P44</f>
        <v>19500</v>
      </c>
      <c r="Q38" s="29">
        <f t="shared" si="49"/>
        <v>19500</v>
      </c>
      <c r="R38" s="29">
        <f t="shared" si="49"/>
        <v>0</v>
      </c>
      <c r="S38" s="23" t="s">
        <v>20</v>
      </c>
    </row>
    <row r="39" spans="1:31" s="22" customFormat="1" ht="20.25" customHeight="1" x14ac:dyDescent="0.25">
      <c r="A39" s="119" t="s">
        <v>26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1"/>
    </row>
    <row r="40" spans="1:31" s="22" customFormat="1" ht="16.5" x14ac:dyDescent="0.25">
      <c r="A40" s="23">
        <f>A38+1</f>
        <v>21</v>
      </c>
      <c r="B40" s="119" t="s">
        <v>26</v>
      </c>
      <c r="C40" s="121"/>
      <c r="D40" s="28">
        <f>SUM(E40:R40)</f>
        <v>205499727.09</v>
      </c>
      <c r="E40" s="28">
        <f t="shared" ref="E40:N40" si="50">SUM(E41:E44)</f>
        <v>6001306</v>
      </c>
      <c r="F40" s="28">
        <f t="shared" si="50"/>
        <v>7717583.8100000005</v>
      </c>
      <c r="G40" s="28">
        <f t="shared" si="50"/>
        <v>7655964.5</v>
      </c>
      <c r="H40" s="37">
        <f t="shared" si="50"/>
        <v>7602127</v>
      </c>
      <c r="I40" s="37">
        <f t="shared" si="50"/>
        <v>8986712.5700000003</v>
      </c>
      <c r="J40" s="28">
        <f t="shared" si="50"/>
        <v>8470678.2100000009</v>
      </c>
      <c r="K40" s="28">
        <f t="shared" si="50"/>
        <v>8947546</v>
      </c>
      <c r="L40" s="28">
        <f t="shared" si="50"/>
        <v>8854308</v>
      </c>
      <c r="M40" s="35">
        <f t="shared" si="50"/>
        <v>9806682</v>
      </c>
      <c r="N40" s="92">
        <f t="shared" si="50"/>
        <v>25995187</v>
      </c>
      <c r="O40" s="28">
        <f t="shared" ref="O40:R40" si="51">SUM(O41:O44)</f>
        <v>35644869</v>
      </c>
      <c r="P40" s="28">
        <f t="shared" si="51"/>
        <v>35785784</v>
      </c>
      <c r="Q40" s="28">
        <f t="shared" si="51"/>
        <v>34030979</v>
      </c>
      <c r="R40" s="28">
        <f t="shared" si="51"/>
        <v>0</v>
      </c>
      <c r="S40" s="23" t="s">
        <v>20</v>
      </c>
    </row>
    <row r="41" spans="1:31" s="22" customFormat="1" ht="16.5" x14ac:dyDescent="0.25">
      <c r="A41" s="23">
        <f t="shared" ref="A41:A44" si="52">A40+1</f>
        <v>22</v>
      </c>
      <c r="B41" s="111" t="s">
        <v>22</v>
      </c>
      <c r="C41" s="112"/>
      <c r="D41" s="28">
        <f t="shared" ref="D41:D44" si="53">SUM(E41:R41)</f>
        <v>0</v>
      </c>
      <c r="E41" s="29">
        <f t="shared" ref="E41:N41" si="54">E47+E53</f>
        <v>0</v>
      </c>
      <c r="F41" s="29">
        <f t="shared" si="54"/>
        <v>0</v>
      </c>
      <c r="G41" s="29">
        <f t="shared" si="54"/>
        <v>0</v>
      </c>
      <c r="H41" s="38">
        <f t="shared" si="54"/>
        <v>0</v>
      </c>
      <c r="I41" s="38">
        <f t="shared" si="54"/>
        <v>0</v>
      </c>
      <c r="J41" s="29">
        <f t="shared" si="54"/>
        <v>0</v>
      </c>
      <c r="K41" s="29">
        <f t="shared" si="54"/>
        <v>0</v>
      </c>
      <c r="L41" s="29">
        <f t="shared" si="54"/>
        <v>0</v>
      </c>
      <c r="M41" s="30">
        <f t="shared" si="54"/>
        <v>0</v>
      </c>
      <c r="N41" s="91">
        <f t="shared" si="54"/>
        <v>0</v>
      </c>
      <c r="O41" s="29">
        <f t="shared" ref="O41:R41" si="55">O47+O53</f>
        <v>0</v>
      </c>
      <c r="P41" s="29">
        <f t="shared" si="55"/>
        <v>0</v>
      </c>
      <c r="Q41" s="29">
        <f t="shared" si="55"/>
        <v>0</v>
      </c>
      <c r="R41" s="29">
        <f t="shared" si="55"/>
        <v>0</v>
      </c>
      <c r="S41" s="23" t="s">
        <v>20</v>
      </c>
    </row>
    <row r="42" spans="1:31" s="22" customFormat="1" ht="16.5" x14ac:dyDescent="0.25">
      <c r="A42" s="23">
        <f t="shared" si="52"/>
        <v>23</v>
      </c>
      <c r="B42" s="111" t="s">
        <v>23</v>
      </c>
      <c r="C42" s="112"/>
      <c r="D42" s="28">
        <f t="shared" si="53"/>
        <v>1474700.57</v>
      </c>
      <c r="E42" s="29">
        <f t="shared" ref="E42:G44" si="56">E48+E54</f>
        <v>0</v>
      </c>
      <c r="F42" s="29">
        <f t="shared" si="56"/>
        <v>0</v>
      </c>
      <c r="G42" s="29">
        <f t="shared" si="56"/>
        <v>0</v>
      </c>
      <c r="H42" s="38">
        <f>H48+H54+H60</f>
        <v>0</v>
      </c>
      <c r="I42" s="38">
        <f>I48+I54+I60</f>
        <v>409650.57</v>
      </c>
      <c r="J42" s="29">
        <f>J48+J54+J60</f>
        <v>113600</v>
      </c>
      <c r="K42" s="29">
        <f>K48+K54+K60</f>
        <v>119500</v>
      </c>
      <c r="L42" s="29">
        <f>L48+L54+L60</f>
        <v>130400</v>
      </c>
      <c r="M42" s="30">
        <f>M48+M54+M60+M65</f>
        <v>281306</v>
      </c>
      <c r="N42" s="91">
        <f>N48+N54+N60+N65+N70</f>
        <v>297844</v>
      </c>
      <c r="O42" s="29">
        <f t="shared" ref="O42" si="57">O48+O54+O60+O65+O70</f>
        <v>122400</v>
      </c>
      <c r="P42" s="29">
        <f t="shared" ref="P42:R42" si="58">P48+P54+P60+P65+P70</f>
        <v>0</v>
      </c>
      <c r="Q42" s="29">
        <f t="shared" si="58"/>
        <v>0</v>
      </c>
      <c r="R42" s="29">
        <f t="shared" si="58"/>
        <v>0</v>
      </c>
      <c r="S42" s="23" t="s">
        <v>20</v>
      </c>
    </row>
    <row r="43" spans="1:31" s="22" customFormat="1" ht="16.5" x14ac:dyDescent="0.25">
      <c r="A43" s="23">
        <f t="shared" si="52"/>
        <v>24</v>
      </c>
      <c r="B43" s="111" t="s">
        <v>24</v>
      </c>
      <c r="C43" s="112"/>
      <c r="D43" s="28">
        <f t="shared" si="53"/>
        <v>200539026.52000001</v>
      </c>
      <c r="E43" s="29">
        <f t="shared" si="56"/>
        <v>6001306</v>
      </c>
      <c r="F43" s="29">
        <f t="shared" si="56"/>
        <v>7717583.8100000005</v>
      </c>
      <c r="G43" s="29">
        <f t="shared" si="56"/>
        <v>7655964.5</v>
      </c>
      <c r="H43" s="38">
        <f>H49+H55</f>
        <v>7602127</v>
      </c>
      <c r="I43" s="38">
        <f>I49+I55+I61+I66</f>
        <v>8577062</v>
      </c>
      <c r="J43" s="29">
        <f>J49+J55+J61+J66</f>
        <v>8357078.21</v>
      </c>
      <c r="K43" s="29">
        <f>K49+K55+K61+K66</f>
        <v>8768046</v>
      </c>
      <c r="L43" s="29">
        <f>L49+L55+L61+L66</f>
        <v>8678908</v>
      </c>
      <c r="M43" s="30">
        <f>M49+M55+M61+M66</f>
        <v>9449376</v>
      </c>
      <c r="N43" s="91">
        <f>N49+N55+N61+N66+N71</f>
        <v>24081343</v>
      </c>
      <c r="O43" s="29">
        <f t="shared" ref="O43" si="59">O49+O55+O61+O66+O71</f>
        <v>33872469</v>
      </c>
      <c r="P43" s="29">
        <f t="shared" ref="P43:R43" si="60">P49+P55+P61+P66+P71</f>
        <v>35766284</v>
      </c>
      <c r="Q43" s="29">
        <f t="shared" si="60"/>
        <v>34011479</v>
      </c>
      <c r="R43" s="29">
        <f t="shared" si="60"/>
        <v>0</v>
      </c>
      <c r="S43" s="23" t="s">
        <v>20</v>
      </c>
    </row>
    <row r="44" spans="1:31" s="22" customFormat="1" ht="16.5" x14ac:dyDescent="0.25">
      <c r="A44" s="23">
        <f t="shared" si="52"/>
        <v>25</v>
      </c>
      <c r="B44" s="132" t="s">
        <v>25</v>
      </c>
      <c r="C44" s="133"/>
      <c r="D44" s="28">
        <f t="shared" si="53"/>
        <v>3486000</v>
      </c>
      <c r="E44" s="29">
        <f t="shared" si="56"/>
        <v>0</v>
      </c>
      <c r="F44" s="29">
        <f t="shared" si="56"/>
        <v>0</v>
      </c>
      <c r="G44" s="29">
        <f t="shared" si="56"/>
        <v>0</v>
      </c>
      <c r="H44" s="38">
        <f>H50+H56</f>
        <v>0</v>
      </c>
      <c r="I44" s="38">
        <f t="shared" ref="I44:N44" si="61">I50+I56</f>
        <v>0</v>
      </c>
      <c r="J44" s="29">
        <f t="shared" si="61"/>
        <v>0</v>
      </c>
      <c r="K44" s="29">
        <f t="shared" si="61"/>
        <v>60000</v>
      </c>
      <c r="L44" s="29">
        <f t="shared" si="61"/>
        <v>45000</v>
      </c>
      <c r="M44" s="30">
        <f t="shared" si="61"/>
        <v>76000</v>
      </c>
      <c r="N44" s="91">
        <f t="shared" si="61"/>
        <v>1616000</v>
      </c>
      <c r="O44" s="29">
        <f t="shared" ref="O44" si="62">O50+O56</f>
        <v>1650000</v>
      </c>
      <c r="P44" s="29">
        <f t="shared" ref="P44:R44" si="63">P50+P56</f>
        <v>19500</v>
      </c>
      <c r="Q44" s="29">
        <f t="shared" si="63"/>
        <v>19500</v>
      </c>
      <c r="R44" s="29">
        <f t="shared" si="63"/>
        <v>0</v>
      </c>
      <c r="S44" s="23" t="s">
        <v>20</v>
      </c>
    </row>
    <row r="45" spans="1:31" s="22" customFormat="1" ht="21.75" customHeight="1" x14ac:dyDescent="0.25">
      <c r="A45" s="168">
        <f>A44+1</f>
        <v>26</v>
      </c>
      <c r="B45" s="174" t="s">
        <v>31</v>
      </c>
      <c r="C45" s="175"/>
      <c r="D45" s="107">
        <f>SUM(E45:R46)</f>
        <v>156979963</v>
      </c>
      <c r="E45" s="107">
        <f t="shared" ref="E45:N45" si="64">SUM(E47:E50)</f>
        <v>6001306</v>
      </c>
      <c r="F45" s="107">
        <f t="shared" si="64"/>
        <v>7653304.2300000004</v>
      </c>
      <c r="G45" s="107">
        <f t="shared" si="64"/>
        <v>7655964.5</v>
      </c>
      <c r="H45" s="176">
        <f t="shared" si="64"/>
        <v>7602127</v>
      </c>
      <c r="I45" s="176">
        <f t="shared" si="64"/>
        <v>7384312.5700000003</v>
      </c>
      <c r="J45" s="107">
        <f t="shared" si="64"/>
        <v>6757916</v>
      </c>
      <c r="K45" s="107">
        <f t="shared" si="64"/>
        <v>6966482.8799999999</v>
      </c>
      <c r="L45" s="107">
        <f t="shared" si="64"/>
        <v>8668008</v>
      </c>
      <c r="M45" s="172">
        <f t="shared" si="64"/>
        <v>9418682</v>
      </c>
      <c r="N45" s="156">
        <f t="shared" si="64"/>
        <v>19341394.82</v>
      </c>
      <c r="O45" s="107">
        <f t="shared" ref="O45" si="65">SUM(O47:O50)</f>
        <v>24428969</v>
      </c>
      <c r="P45" s="107">
        <f t="shared" ref="P45:R45" si="66">SUM(P47:P50)</f>
        <v>23117375</v>
      </c>
      <c r="Q45" s="107">
        <f t="shared" si="66"/>
        <v>21984121</v>
      </c>
      <c r="R45" s="107">
        <f t="shared" si="66"/>
        <v>0</v>
      </c>
      <c r="S45" s="168" t="s">
        <v>32</v>
      </c>
    </row>
    <row r="46" spans="1:31" s="22" customFormat="1" ht="96" customHeight="1" x14ac:dyDescent="0.25">
      <c r="A46" s="169"/>
      <c r="B46" s="137" t="s">
        <v>33</v>
      </c>
      <c r="C46" s="138"/>
      <c r="D46" s="108"/>
      <c r="E46" s="108"/>
      <c r="F46" s="108"/>
      <c r="G46" s="108"/>
      <c r="H46" s="177"/>
      <c r="I46" s="177"/>
      <c r="J46" s="108"/>
      <c r="K46" s="108"/>
      <c r="L46" s="108"/>
      <c r="M46" s="173"/>
      <c r="N46" s="157"/>
      <c r="O46" s="108"/>
      <c r="P46" s="108"/>
      <c r="Q46" s="108"/>
      <c r="R46" s="108"/>
      <c r="S46" s="169"/>
    </row>
    <row r="47" spans="1:31" s="22" customFormat="1" ht="16.5" x14ac:dyDescent="0.25">
      <c r="A47" s="23">
        <f>A45+1</f>
        <v>27</v>
      </c>
      <c r="B47" s="113" t="s">
        <v>22</v>
      </c>
      <c r="C47" s="114"/>
      <c r="D47" s="28">
        <f>SUM(E47:R47)</f>
        <v>0</v>
      </c>
      <c r="E47" s="29">
        <v>0</v>
      </c>
      <c r="F47" s="28">
        <v>0</v>
      </c>
      <c r="G47" s="29">
        <v>0</v>
      </c>
      <c r="H47" s="38">
        <v>0</v>
      </c>
      <c r="I47" s="38">
        <v>0</v>
      </c>
      <c r="J47" s="29">
        <v>0</v>
      </c>
      <c r="K47" s="29">
        <v>0</v>
      </c>
      <c r="L47" s="29">
        <v>0</v>
      </c>
      <c r="M47" s="30">
        <v>0</v>
      </c>
      <c r="N47" s="91">
        <v>0</v>
      </c>
      <c r="O47" s="29">
        <v>0</v>
      </c>
      <c r="P47" s="29">
        <v>0</v>
      </c>
      <c r="Q47" s="29">
        <v>0</v>
      </c>
      <c r="R47" s="29">
        <v>0</v>
      </c>
      <c r="S47" s="23" t="s">
        <v>20</v>
      </c>
    </row>
    <row r="48" spans="1:31" s="22" customFormat="1" ht="16.5" x14ac:dyDescent="0.25">
      <c r="A48" s="23">
        <f t="shared" ref="A48:A50" si="67">A47+1</f>
        <v>28</v>
      </c>
      <c r="B48" s="111" t="s">
        <v>23</v>
      </c>
      <c r="C48" s="112"/>
      <c r="D48" s="28">
        <f t="shared" ref="D48:D50" si="68">SUM(E48:R48)</f>
        <v>617900.57000000007</v>
      </c>
      <c r="E48" s="29">
        <v>0</v>
      </c>
      <c r="F48" s="28">
        <v>0</v>
      </c>
      <c r="G48" s="29">
        <v>0</v>
      </c>
      <c r="H48" s="38">
        <v>0</v>
      </c>
      <c r="I48" s="38">
        <v>285050.57</v>
      </c>
      <c r="J48" s="29">
        <v>0</v>
      </c>
      <c r="K48" s="29">
        <v>0</v>
      </c>
      <c r="L48" s="29">
        <v>0</v>
      </c>
      <c r="M48" s="30">
        <v>157406</v>
      </c>
      <c r="N48" s="91">
        <v>175444</v>
      </c>
      <c r="O48" s="29">
        <v>0</v>
      </c>
      <c r="P48" s="29">
        <v>0</v>
      </c>
      <c r="Q48" s="29">
        <v>0</v>
      </c>
      <c r="R48" s="29">
        <v>0</v>
      </c>
      <c r="S48" s="23" t="s">
        <v>20</v>
      </c>
    </row>
    <row r="49" spans="1:19" s="22" customFormat="1" ht="16.5" x14ac:dyDescent="0.25">
      <c r="A49" s="23">
        <f t="shared" si="67"/>
        <v>29</v>
      </c>
      <c r="B49" s="111" t="s">
        <v>24</v>
      </c>
      <c r="C49" s="112"/>
      <c r="D49" s="28">
        <f t="shared" si="68"/>
        <v>152876062.43000001</v>
      </c>
      <c r="E49" s="29">
        <v>6001306</v>
      </c>
      <c r="F49" s="28">
        <v>7653304.2300000004</v>
      </c>
      <c r="G49" s="29">
        <v>7655964.5</v>
      </c>
      <c r="H49" s="38">
        <f>6904624+697503</f>
        <v>7602127</v>
      </c>
      <c r="I49" s="38">
        <f>7099262</f>
        <v>7099262</v>
      </c>
      <c r="J49" s="29">
        <f>6709116+43800+5000</f>
        <v>6757916</v>
      </c>
      <c r="K49" s="29">
        <f>7160807-72944.12-186380+5000</f>
        <v>6906482.8799999999</v>
      </c>
      <c r="L49" s="29">
        <f>8004944-4700+293000+329764</f>
        <v>8623008</v>
      </c>
      <c r="M49" s="30">
        <f>9185276</f>
        <v>9185276</v>
      </c>
      <c r="N49" s="91">
        <f>17549950.82</f>
        <v>17549950.82</v>
      </c>
      <c r="O49" s="29">
        <v>22778969</v>
      </c>
      <c r="P49" s="29">
        <v>23097875</v>
      </c>
      <c r="Q49" s="29">
        <v>21964621</v>
      </c>
      <c r="R49" s="29">
        <v>0</v>
      </c>
      <c r="S49" s="23" t="s">
        <v>20</v>
      </c>
    </row>
    <row r="50" spans="1:19" s="22" customFormat="1" ht="16.5" x14ac:dyDescent="0.25">
      <c r="A50" s="23">
        <f t="shared" si="67"/>
        <v>30</v>
      </c>
      <c r="B50" s="111" t="s">
        <v>25</v>
      </c>
      <c r="C50" s="112"/>
      <c r="D50" s="28">
        <f t="shared" si="68"/>
        <v>3486000</v>
      </c>
      <c r="E50" s="29">
        <v>0</v>
      </c>
      <c r="F50" s="28">
        <v>0</v>
      </c>
      <c r="G50" s="29">
        <v>0</v>
      </c>
      <c r="H50" s="38">
        <v>0</v>
      </c>
      <c r="I50" s="38">
        <v>0</v>
      </c>
      <c r="J50" s="29">
        <v>0</v>
      </c>
      <c r="K50" s="29">
        <v>60000</v>
      </c>
      <c r="L50" s="29">
        <v>45000</v>
      </c>
      <c r="M50" s="30">
        <f>45000+11000+20000</f>
        <v>76000</v>
      </c>
      <c r="N50" s="91">
        <f>117000+370000+750000+375000+4000</f>
        <v>1616000</v>
      </c>
      <c r="O50" s="29">
        <v>1650000</v>
      </c>
      <c r="P50" s="29">
        <v>19500</v>
      </c>
      <c r="Q50" s="29">
        <v>19500</v>
      </c>
      <c r="R50" s="29">
        <v>0</v>
      </c>
      <c r="S50" s="23" t="s">
        <v>20</v>
      </c>
    </row>
    <row r="51" spans="1:19" s="22" customFormat="1" ht="16.5" customHeight="1" x14ac:dyDescent="0.25">
      <c r="A51" s="168">
        <f>A50+1</f>
        <v>31</v>
      </c>
      <c r="B51" s="40" t="s">
        <v>34</v>
      </c>
      <c r="C51" s="104">
        <f>SUM(E51:R52)</f>
        <v>64279.58</v>
      </c>
      <c r="D51" s="160"/>
      <c r="E51" s="104">
        <f t="shared" ref="E51:N51" si="69">SUM(E53:E56)</f>
        <v>0</v>
      </c>
      <c r="F51" s="104">
        <f t="shared" si="69"/>
        <v>64279.58</v>
      </c>
      <c r="G51" s="104">
        <f t="shared" si="69"/>
        <v>0</v>
      </c>
      <c r="H51" s="117">
        <f t="shared" si="69"/>
        <v>0</v>
      </c>
      <c r="I51" s="117">
        <f t="shared" si="69"/>
        <v>0</v>
      </c>
      <c r="J51" s="104">
        <f t="shared" si="69"/>
        <v>0</v>
      </c>
      <c r="K51" s="104">
        <f t="shared" si="69"/>
        <v>0</v>
      </c>
      <c r="L51" s="104">
        <f t="shared" si="69"/>
        <v>0</v>
      </c>
      <c r="M51" s="115">
        <f t="shared" si="69"/>
        <v>0</v>
      </c>
      <c r="N51" s="109">
        <f t="shared" si="69"/>
        <v>0</v>
      </c>
      <c r="O51" s="104">
        <f t="shared" ref="O51" si="70">SUM(O53:O56)</f>
        <v>0</v>
      </c>
      <c r="P51" s="104">
        <f t="shared" ref="P51:R51" si="71">SUM(P53:P56)</f>
        <v>0</v>
      </c>
      <c r="Q51" s="104">
        <f t="shared" si="71"/>
        <v>0</v>
      </c>
      <c r="R51" s="104">
        <f t="shared" si="71"/>
        <v>0</v>
      </c>
      <c r="S51" s="102" t="s">
        <v>20</v>
      </c>
    </row>
    <row r="52" spans="1:19" s="22" customFormat="1" ht="63" customHeight="1" x14ac:dyDescent="0.25">
      <c r="A52" s="169"/>
      <c r="B52" s="41" t="s">
        <v>35</v>
      </c>
      <c r="C52" s="161"/>
      <c r="D52" s="162"/>
      <c r="E52" s="106"/>
      <c r="F52" s="106"/>
      <c r="G52" s="106"/>
      <c r="H52" s="118"/>
      <c r="I52" s="118"/>
      <c r="J52" s="106"/>
      <c r="K52" s="106"/>
      <c r="L52" s="106"/>
      <c r="M52" s="116"/>
      <c r="N52" s="110"/>
      <c r="O52" s="106"/>
      <c r="P52" s="106"/>
      <c r="Q52" s="106"/>
      <c r="R52" s="106"/>
      <c r="S52" s="103"/>
    </row>
    <row r="53" spans="1:19" s="22" customFormat="1" ht="16.5" x14ac:dyDescent="0.25">
      <c r="A53" s="82">
        <f>A51+1</f>
        <v>32</v>
      </c>
      <c r="B53" s="111" t="s">
        <v>22</v>
      </c>
      <c r="C53" s="112"/>
      <c r="D53" s="28">
        <f>SUM(E53:R53)</f>
        <v>0</v>
      </c>
      <c r="E53" s="29">
        <v>0</v>
      </c>
      <c r="F53" s="29">
        <v>0</v>
      </c>
      <c r="G53" s="29">
        <v>0</v>
      </c>
      <c r="H53" s="38">
        <v>0</v>
      </c>
      <c r="I53" s="38">
        <v>0</v>
      </c>
      <c r="J53" s="29">
        <v>0</v>
      </c>
      <c r="K53" s="29">
        <v>0</v>
      </c>
      <c r="L53" s="29">
        <v>0</v>
      </c>
      <c r="M53" s="30">
        <v>0</v>
      </c>
      <c r="N53" s="91">
        <v>0</v>
      </c>
      <c r="O53" s="29">
        <v>0</v>
      </c>
      <c r="P53" s="29">
        <v>0</v>
      </c>
      <c r="Q53" s="29">
        <v>0</v>
      </c>
      <c r="R53" s="29">
        <v>0</v>
      </c>
      <c r="S53" s="23" t="s">
        <v>20</v>
      </c>
    </row>
    <row r="54" spans="1:19" s="22" customFormat="1" ht="16.5" x14ac:dyDescent="0.25">
      <c r="A54" s="82">
        <f>A53+1</f>
        <v>33</v>
      </c>
      <c r="B54" s="33" t="s">
        <v>23</v>
      </c>
      <c r="C54" s="104">
        <f>SUM(E54:R54)</f>
        <v>0</v>
      </c>
      <c r="D54" s="105"/>
      <c r="E54" s="29">
        <v>0</v>
      </c>
      <c r="F54" s="29">
        <v>0</v>
      </c>
      <c r="G54" s="29">
        <v>0</v>
      </c>
      <c r="H54" s="38">
        <v>0</v>
      </c>
      <c r="I54" s="38">
        <v>0</v>
      </c>
      <c r="J54" s="29">
        <v>0</v>
      </c>
      <c r="K54" s="29">
        <v>0</v>
      </c>
      <c r="L54" s="29">
        <v>0</v>
      </c>
      <c r="M54" s="30">
        <v>0</v>
      </c>
      <c r="N54" s="91">
        <v>0</v>
      </c>
      <c r="O54" s="29">
        <v>0</v>
      </c>
      <c r="P54" s="29">
        <v>0</v>
      </c>
      <c r="Q54" s="29">
        <v>0</v>
      </c>
      <c r="R54" s="29">
        <v>0</v>
      </c>
      <c r="S54" s="23" t="s">
        <v>20</v>
      </c>
    </row>
    <row r="55" spans="1:19" s="22" customFormat="1" ht="16.5" x14ac:dyDescent="0.25">
      <c r="A55" s="82">
        <f>A54+1</f>
        <v>34</v>
      </c>
      <c r="B55" s="33" t="s">
        <v>24</v>
      </c>
      <c r="C55" s="104">
        <f>SUM(E55:R55)</f>
        <v>64279.58</v>
      </c>
      <c r="D55" s="105"/>
      <c r="E55" s="29">
        <v>0</v>
      </c>
      <c r="F55" s="29">
        <v>64279.58</v>
      </c>
      <c r="G55" s="29">
        <v>0</v>
      </c>
      <c r="H55" s="38">
        <v>0</v>
      </c>
      <c r="I55" s="38">
        <v>0</v>
      </c>
      <c r="J55" s="29">
        <v>0</v>
      </c>
      <c r="K55" s="29">
        <v>0</v>
      </c>
      <c r="L55" s="29">
        <v>0</v>
      </c>
      <c r="M55" s="30">
        <v>0</v>
      </c>
      <c r="N55" s="91">
        <v>0</v>
      </c>
      <c r="O55" s="29">
        <v>0</v>
      </c>
      <c r="P55" s="29">
        <v>0</v>
      </c>
      <c r="Q55" s="29">
        <v>0</v>
      </c>
      <c r="R55" s="29">
        <v>0</v>
      </c>
      <c r="S55" s="23" t="s">
        <v>20</v>
      </c>
    </row>
    <row r="56" spans="1:19" s="22" customFormat="1" ht="16.5" x14ac:dyDescent="0.25">
      <c r="A56" s="82">
        <f>A55+1</f>
        <v>35</v>
      </c>
      <c r="B56" s="111" t="s">
        <v>25</v>
      </c>
      <c r="C56" s="112"/>
      <c r="D56" s="42">
        <f>SUM(E56:R56)</f>
        <v>0</v>
      </c>
      <c r="E56" s="43">
        <v>0</v>
      </c>
      <c r="F56" s="43">
        <v>0</v>
      </c>
      <c r="G56" s="43">
        <v>0</v>
      </c>
      <c r="H56" s="44">
        <v>0</v>
      </c>
      <c r="I56" s="44">
        <v>0</v>
      </c>
      <c r="J56" s="43">
        <v>0</v>
      </c>
      <c r="K56" s="43">
        <v>0</v>
      </c>
      <c r="L56" s="43">
        <v>0</v>
      </c>
      <c r="M56" s="45">
        <v>0</v>
      </c>
      <c r="N56" s="93">
        <v>0</v>
      </c>
      <c r="O56" s="43">
        <v>0</v>
      </c>
      <c r="P56" s="43">
        <v>0</v>
      </c>
      <c r="Q56" s="43">
        <v>0</v>
      </c>
      <c r="R56" s="43">
        <v>0</v>
      </c>
      <c r="S56" s="23" t="s">
        <v>20</v>
      </c>
    </row>
    <row r="57" spans="1:19" s="22" customFormat="1" ht="16.5" customHeight="1" x14ac:dyDescent="0.25">
      <c r="A57" s="168">
        <f>A56+1</f>
        <v>36</v>
      </c>
      <c r="B57" s="40" t="s">
        <v>36</v>
      </c>
      <c r="C57" s="104">
        <f>SUM(E57:R58)</f>
        <v>1330021.21</v>
      </c>
      <c r="D57" s="160"/>
      <c r="E57" s="104">
        <f>SUM(E59:E66)</f>
        <v>0</v>
      </c>
      <c r="F57" s="104">
        <f>SUM(F59:F66)</f>
        <v>0</v>
      </c>
      <c r="G57" s="104">
        <f>SUM(G59:G66)</f>
        <v>0</v>
      </c>
      <c r="H57" s="117">
        <f>SUM(H59:H66)</f>
        <v>0</v>
      </c>
      <c r="I57" s="117">
        <f>SUM(I59:I61)</f>
        <v>179600</v>
      </c>
      <c r="J57" s="104">
        <f>J61+J60</f>
        <v>162762.21</v>
      </c>
      <c r="K57" s="104">
        <f>SUM(K59:K62)</f>
        <v>170700</v>
      </c>
      <c r="L57" s="104">
        <f>SUM(L59:L62)</f>
        <v>186300</v>
      </c>
      <c r="M57" s="115">
        <f>SUM(M59:M62)</f>
        <v>177000</v>
      </c>
      <c r="N57" s="109">
        <f>SUM(N59:N62)</f>
        <v>174900</v>
      </c>
      <c r="O57" s="104">
        <f t="shared" ref="O57:R57" si="72">SUM(O59:O62)</f>
        <v>174900</v>
      </c>
      <c r="P57" s="104">
        <f t="shared" si="72"/>
        <v>53235</v>
      </c>
      <c r="Q57" s="104">
        <f t="shared" si="72"/>
        <v>50624</v>
      </c>
      <c r="R57" s="104">
        <f t="shared" si="72"/>
        <v>0</v>
      </c>
      <c r="S57" s="102">
        <v>4.17</v>
      </c>
    </row>
    <row r="58" spans="1:19" s="22" customFormat="1" ht="110.25" customHeight="1" x14ac:dyDescent="0.25">
      <c r="A58" s="169"/>
      <c r="B58" s="41" t="s">
        <v>37</v>
      </c>
      <c r="C58" s="161"/>
      <c r="D58" s="162"/>
      <c r="E58" s="106"/>
      <c r="F58" s="106"/>
      <c r="G58" s="106"/>
      <c r="H58" s="118"/>
      <c r="I58" s="118"/>
      <c r="J58" s="106"/>
      <c r="K58" s="106"/>
      <c r="L58" s="106"/>
      <c r="M58" s="116"/>
      <c r="N58" s="110"/>
      <c r="O58" s="106"/>
      <c r="P58" s="106"/>
      <c r="Q58" s="106"/>
      <c r="R58" s="106"/>
      <c r="S58" s="103"/>
    </row>
    <row r="59" spans="1:19" s="22" customFormat="1" ht="16.5" x14ac:dyDescent="0.25">
      <c r="A59" s="82">
        <f>A57+1</f>
        <v>37</v>
      </c>
      <c r="B59" s="111" t="s">
        <v>22</v>
      </c>
      <c r="C59" s="112"/>
      <c r="D59" s="28">
        <f>SUM(E59:R59)</f>
        <v>0</v>
      </c>
      <c r="E59" s="29">
        <v>0</v>
      </c>
      <c r="F59" s="29">
        <v>0</v>
      </c>
      <c r="G59" s="29">
        <v>0</v>
      </c>
      <c r="H59" s="38">
        <v>0</v>
      </c>
      <c r="I59" s="38">
        <v>0</v>
      </c>
      <c r="J59" s="29">
        <v>0</v>
      </c>
      <c r="K59" s="29">
        <v>0</v>
      </c>
      <c r="L59" s="29">
        <v>0</v>
      </c>
      <c r="M59" s="30">
        <v>0</v>
      </c>
      <c r="N59" s="91">
        <v>0</v>
      </c>
      <c r="O59" s="29">
        <v>0</v>
      </c>
      <c r="P59" s="29">
        <v>0</v>
      </c>
      <c r="Q59" s="29">
        <v>0</v>
      </c>
      <c r="R59" s="29">
        <v>0</v>
      </c>
      <c r="S59" s="23" t="s">
        <v>20</v>
      </c>
    </row>
    <row r="60" spans="1:19" s="46" customFormat="1" ht="16.5" x14ac:dyDescent="0.25">
      <c r="A60" s="82">
        <f>A59+1</f>
        <v>38</v>
      </c>
      <c r="B60" s="33" t="s">
        <v>23</v>
      </c>
      <c r="C60" s="104">
        <f>SUM(E60:R60)</f>
        <v>856800</v>
      </c>
      <c r="D60" s="105"/>
      <c r="E60" s="29">
        <v>0</v>
      </c>
      <c r="F60" s="29">
        <v>0</v>
      </c>
      <c r="G60" s="29">
        <v>0</v>
      </c>
      <c r="H60" s="38">
        <v>0</v>
      </c>
      <c r="I60" s="38">
        <v>124600</v>
      </c>
      <c r="J60" s="29">
        <v>113600</v>
      </c>
      <c r="K60" s="29">
        <v>119500</v>
      </c>
      <c r="L60" s="29">
        <v>130400</v>
      </c>
      <c r="M60" s="30">
        <v>123900</v>
      </c>
      <c r="N60" s="91">
        <v>122400</v>
      </c>
      <c r="O60" s="29">
        <v>122400</v>
      </c>
      <c r="P60" s="29">
        <v>0</v>
      </c>
      <c r="Q60" s="29">
        <v>0</v>
      </c>
      <c r="R60" s="29">
        <v>0</v>
      </c>
      <c r="S60" s="23" t="s">
        <v>20</v>
      </c>
    </row>
    <row r="61" spans="1:19" s="22" customFormat="1" ht="16.5" x14ac:dyDescent="0.25">
      <c r="A61" s="82">
        <f>A60+1</f>
        <v>39</v>
      </c>
      <c r="B61" s="33" t="s">
        <v>24</v>
      </c>
      <c r="C61" s="104">
        <f>SUM(E61:R61)</f>
        <v>473221.20999999996</v>
      </c>
      <c r="D61" s="105"/>
      <c r="E61" s="29">
        <v>0</v>
      </c>
      <c r="F61" s="29">
        <v>0</v>
      </c>
      <c r="G61" s="29">
        <v>0</v>
      </c>
      <c r="H61" s="38">
        <v>0</v>
      </c>
      <c r="I61" s="38">
        <v>55000</v>
      </c>
      <c r="J61" s="29">
        <v>49162.21</v>
      </c>
      <c r="K61" s="29">
        <v>51200</v>
      </c>
      <c r="L61" s="29">
        <f>51200+4700</f>
        <v>55900</v>
      </c>
      <c r="M61" s="30">
        <f>51917+1783-600</f>
        <v>53100</v>
      </c>
      <c r="N61" s="91">
        <v>52500</v>
      </c>
      <c r="O61" s="29">
        <v>52500</v>
      </c>
      <c r="P61" s="29">
        <v>53235</v>
      </c>
      <c r="Q61" s="29">
        <v>50624</v>
      </c>
      <c r="R61" s="29">
        <v>0</v>
      </c>
      <c r="S61" s="23" t="s">
        <v>20</v>
      </c>
    </row>
    <row r="62" spans="1:19" s="22" customFormat="1" ht="16.5" x14ac:dyDescent="0.25">
      <c r="A62" s="82">
        <f>A61+1</f>
        <v>40</v>
      </c>
      <c r="B62" s="111" t="s">
        <v>25</v>
      </c>
      <c r="C62" s="112"/>
      <c r="D62" s="42">
        <f>SUM(E62:R62)</f>
        <v>0</v>
      </c>
      <c r="E62" s="43">
        <v>0</v>
      </c>
      <c r="F62" s="43">
        <v>0</v>
      </c>
      <c r="G62" s="43">
        <v>0</v>
      </c>
      <c r="H62" s="44">
        <v>0</v>
      </c>
      <c r="I62" s="44">
        <v>0</v>
      </c>
      <c r="J62" s="43">
        <v>0</v>
      </c>
      <c r="K62" s="43">
        <v>0</v>
      </c>
      <c r="L62" s="43">
        <v>0</v>
      </c>
      <c r="M62" s="45">
        <v>0</v>
      </c>
      <c r="N62" s="93">
        <v>0</v>
      </c>
      <c r="O62" s="43">
        <v>0</v>
      </c>
      <c r="P62" s="43">
        <v>0</v>
      </c>
      <c r="Q62" s="43">
        <v>0</v>
      </c>
      <c r="R62" s="43">
        <v>0</v>
      </c>
      <c r="S62" s="23" t="s">
        <v>20</v>
      </c>
    </row>
    <row r="63" spans="1:19" s="47" customFormat="1" ht="80.25" customHeight="1" x14ac:dyDescent="0.25">
      <c r="A63" s="80">
        <f>A62+1</f>
        <v>41</v>
      </c>
      <c r="B63" s="48" t="s">
        <v>38</v>
      </c>
      <c r="C63" s="28"/>
      <c r="D63" s="42">
        <f>SUM(E63:R63)</f>
        <v>43367896.899999999</v>
      </c>
      <c r="E63" s="28">
        <v>0</v>
      </c>
      <c r="F63" s="28">
        <v>0</v>
      </c>
      <c r="G63" s="28">
        <v>0</v>
      </c>
      <c r="H63" s="28">
        <v>0</v>
      </c>
      <c r="I63" s="28">
        <f t="shared" ref="I63:R63" si="73">SUM(I64:I67)</f>
        <v>1422800</v>
      </c>
      <c r="J63" s="28">
        <f t="shared" si="73"/>
        <v>1550000</v>
      </c>
      <c r="K63" s="28">
        <f t="shared" si="73"/>
        <v>1810363.12</v>
      </c>
      <c r="L63" s="28">
        <f t="shared" si="73"/>
        <v>0</v>
      </c>
      <c r="M63" s="35">
        <f t="shared" si="73"/>
        <v>211000</v>
      </c>
      <c r="N63" s="92">
        <f t="shared" si="73"/>
        <v>3321325.78</v>
      </c>
      <c r="O63" s="28">
        <f t="shared" si="73"/>
        <v>10441000</v>
      </c>
      <c r="P63" s="28">
        <f t="shared" si="73"/>
        <v>12615174</v>
      </c>
      <c r="Q63" s="28">
        <f t="shared" si="73"/>
        <v>11996234</v>
      </c>
      <c r="R63" s="28">
        <f t="shared" si="73"/>
        <v>0</v>
      </c>
      <c r="S63" s="34" t="s">
        <v>113</v>
      </c>
    </row>
    <row r="64" spans="1:19" s="22" customFormat="1" ht="16.5" x14ac:dyDescent="0.25">
      <c r="A64" s="80">
        <f t="shared" ref="A64:A72" si="74">A63+1</f>
        <v>42</v>
      </c>
      <c r="B64" s="111" t="s">
        <v>22</v>
      </c>
      <c r="C64" s="112"/>
      <c r="D64" s="28">
        <f>SUM(E64:R64)</f>
        <v>0</v>
      </c>
      <c r="E64" s="29">
        <v>0</v>
      </c>
      <c r="F64" s="29">
        <v>0</v>
      </c>
      <c r="G64" s="29">
        <v>0</v>
      </c>
      <c r="H64" s="38">
        <v>0</v>
      </c>
      <c r="I64" s="38">
        <v>0</v>
      </c>
      <c r="J64" s="29">
        <v>0</v>
      </c>
      <c r="K64" s="29">
        <v>0</v>
      </c>
      <c r="L64" s="29">
        <v>0</v>
      </c>
      <c r="M64" s="30">
        <v>0</v>
      </c>
      <c r="N64" s="91">
        <v>0</v>
      </c>
      <c r="O64" s="29">
        <v>0</v>
      </c>
      <c r="P64" s="29">
        <v>0</v>
      </c>
      <c r="Q64" s="29">
        <v>0</v>
      </c>
      <c r="R64" s="29">
        <v>0</v>
      </c>
      <c r="S64" s="23" t="s">
        <v>20</v>
      </c>
    </row>
    <row r="65" spans="1:31" s="22" customFormat="1" ht="16.5" x14ac:dyDescent="0.25">
      <c r="A65" s="80">
        <f t="shared" si="74"/>
        <v>43</v>
      </c>
      <c r="B65" s="33" t="s">
        <v>23</v>
      </c>
      <c r="C65" s="104">
        <f>SUM(E65:R65)</f>
        <v>0</v>
      </c>
      <c r="D65" s="105"/>
      <c r="E65" s="29">
        <v>0</v>
      </c>
      <c r="F65" s="29">
        <v>0</v>
      </c>
      <c r="G65" s="29">
        <v>0</v>
      </c>
      <c r="H65" s="38">
        <v>0</v>
      </c>
      <c r="I65" s="38">
        <v>0</v>
      </c>
      <c r="J65" s="29">
        <v>0</v>
      </c>
      <c r="K65" s="29">
        <v>0</v>
      </c>
      <c r="L65" s="29">
        <v>0</v>
      </c>
      <c r="M65" s="30">
        <v>0</v>
      </c>
      <c r="N65" s="91">
        <v>0</v>
      </c>
      <c r="O65" s="29">
        <v>0</v>
      </c>
      <c r="P65" s="29">
        <v>0</v>
      </c>
      <c r="Q65" s="29">
        <v>0</v>
      </c>
      <c r="R65" s="29">
        <v>0</v>
      </c>
      <c r="S65" s="23" t="s">
        <v>20</v>
      </c>
    </row>
    <row r="66" spans="1:31" s="46" customFormat="1" ht="16.5" x14ac:dyDescent="0.25">
      <c r="A66" s="80">
        <f t="shared" si="74"/>
        <v>44</v>
      </c>
      <c r="B66" s="33" t="s">
        <v>24</v>
      </c>
      <c r="C66" s="104">
        <f>SUM(E66:R66)</f>
        <v>43367896.899999999</v>
      </c>
      <c r="D66" s="105"/>
      <c r="E66" s="29">
        <v>0</v>
      </c>
      <c r="F66" s="29">
        <v>0</v>
      </c>
      <c r="G66" s="29">
        <v>0</v>
      </c>
      <c r="H66" s="38">
        <v>0</v>
      </c>
      <c r="I66" s="38">
        <v>1422800</v>
      </c>
      <c r="J66" s="29">
        <v>1550000</v>
      </c>
      <c r="K66" s="29">
        <f>1413039+72944.12+324380</f>
        <v>1810363.12</v>
      </c>
      <c r="L66" s="29">
        <f>329764-329764</f>
        <v>0</v>
      </c>
      <c r="M66" s="30">
        <v>211000</v>
      </c>
      <c r="N66" s="91">
        <v>3321325.78</v>
      </c>
      <c r="O66" s="29">
        <v>10441000</v>
      </c>
      <c r="P66" s="29">
        <v>12615174</v>
      </c>
      <c r="Q66" s="29">
        <v>11996234</v>
      </c>
      <c r="R66" s="29">
        <v>0</v>
      </c>
      <c r="S66" s="23" t="s">
        <v>20</v>
      </c>
    </row>
    <row r="67" spans="1:31" s="22" customFormat="1" ht="16.5" customHeight="1" x14ac:dyDescent="0.25">
      <c r="A67" s="80">
        <f t="shared" si="74"/>
        <v>45</v>
      </c>
      <c r="B67" s="111" t="s">
        <v>25</v>
      </c>
      <c r="C67" s="112"/>
      <c r="D67" s="42">
        <f>SUM(E67:R67)</f>
        <v>0</v>
      </c>
      <c r="E67" s="43">
        <v>0</v>
      </c>
      <c r="F67" s="43">
        <v>0</v>
      </c>
      <c r="G67" s="43">
        <v>0</v>
      </c>
      <c r="H67" s="44">
        <v>0</v>
      </c>
      <c r="I67" s="44">
        <v>0</v>
      </c>
      <c r="J67" s="43">
        <v>0</v>
      </c>
      <c r="K67" s="43">
        <v>0</v>
      </c>
      <c r="L67" s="43">
        <v>0</v>
      </c>
      <c r="M67" s="45">
        <v>0</v>
      </c>
      <c r="N67" s="93">
        <v>0</v>
      </c>
      <c r="O67" s="43">
        <v>0</v>
      </c>
      <c r="P67" s="43">
        <v>0</v>
      </c>
      <c r="Q67" s="43">
        <v>0</v>
      </c>
      <c r="R67" s="43">
        <v>0</v>
      </c>
      <c r="S67" s="23" t="s">
        <v>20</v>
      </c>
    </row>
    <row r="68" spans="1:31" s="47" customFormat="1" ht="68.25" customHeight="1" x14ac:dyDescent="0.25">
      <c r="A68" s="80">
        <f t="shared" si="74"/>
        <v>46</v>
      </c>
      <c r="B68" s="48" t="s">
        <v>98</v>
      </c>
      <c r="C68" s="28"/>
      <c r="D68" s="42">
        <f>SUM(E68:R68)</f>
        <v>3757566.4</v>
      </c>
      <c r="E68" s="28">
        <v>0</v>
      </c>
      <c r="F68" s="28">
        <v>0</v>
      </c>
      <c r="G68" s="28">
        <v>0</v>
      </c>
      <c r="H68" s="28">
        <v>0</v>
      </c>
      <c r="I68" s="28">
        <f t="shared" ref="I68:R68" si="75">SUM(I69:I72)</f>
        <v>0</v>
      </c>
      <c r="J68" s="28">
        <f t="shared" si="75"/>
        <v>0</v>
      </c>
      <c r="K68" s="28">
        <f t="shared" si="75"/>
        <v>0</v>
      </c>
      <c r="L68" s="28">
        <f t="shared" si="75"/>
        <v>0</v>
      </c>
      <c r="M68" s="35">
        <f t="shared" si="75"/>
        <v>0</v>
      </c>
      <c r="N68" s="92">
        <f t="shared" si="75"/>
        <v>3157566.4</v>
      </c>
      <c r="O68" s="28">
        <f t="shared" si="75"/>
        <v>600000</v>
      </c>
      <c r="P68" s="28">
        <f t="shared" si="75"/>
        <v>0</v>
      </c>
      <c r="Q68" s="28">
        <f t="shared" si="75"/>
        <v>0</v>
      </c>
      <c r="R68" s="28">
        <f t="shared" si="75"/>
        <v>0</v>
      </c>
      <c r="S68" s="34" t="s">
        <v>114</v>
      </c>
    </row>
    <row r="69" spans="1:31" s="22" customFormat="1" ht="16.5" x14ac:dyDescent="0.25">
      <c r="A69" s="80">
        <f t="shared" si="74"/>
        <v>47</v>
      </c>
      <c r="B69" s="111" t="s">
        <v>22</v>
      </c>
      <c r="C69" s="112"/>
      <c r="D69" s="28">
        <f>SUM(E69:R69)</f>
        <v>0</v>
      </c>
      <c r="E69" s="29">
        <v>0</v>
      </c>
      <c r="F69" s="29">
        <v>0</v>
      </c>
      <c r="G69" s="29">
        <v>0</v>
      </c>
      <c r="H69" s="38">
        <v>0</v>
      </c>
      <c r="I69" s="38">
        <v>0</v>
      </c>
      <c r="J69" s="29">
        <v>0</v>
      </c>
      <c r="K69" s="29">
        <v>0</v>
      </c>
      <c r="L69" s="29">
        <v>0</v>
      </c>
      <c r="M69" s="30">
        <v>0</v>
      </c>
      <c r="N69" s="91">
        <v>0</v>
      </c>
      <c r="O69" s="29">
        <v>0</v>
      </c>
      <c r="P69" s="29">
        <v>0</v>
      </c>
      <c r="Q69" s="29">
        <v>0</v>
      </c>
      <c r="R69" s="29">
        <v>0</v>
      </c>
      <c r="S69" s="23" t="s">
        <v>20</v>
      </c>
    </row>
    <row r="70" spans="1:31" s="22" customFormat="1" ht="16.5" x14ac:dyDescent="0.25">
      <c r="A70" s="80">
        <f t="shared" si="74"/>
        <v>48</v>
      </c>
      <c r="B70" s="33" t="s">
        <v>23</v>
      </c>
      <c r="C70" s="104">
        <f>SUM(E70:R70)</f>
        <v>0</v>
      </c>
      <c r="D70" s="105"/>
      <c r="E70" s="29">
        <v>0</v>
      </c>
      <c r="F70" s="29">
        <v>0</v>
      </c>
      <c r="G70" s="29">
        <v>0</v>
      </c>
      <c r="H70" s="38">
        <v>0</v>
      </c>
      <c r="I70" s="38">
        <v>0</v>
      </c>
      <c r="J70" s="29">
        <v>0</v>
      </c>
      <c r="K70" s="29">
        <v>0</v>
      </c>
      <c r="L70" s="29">
        <v>0</v>
      </c>
      <c r="M70" s="30">
        <v>0</v>
      </c>
      <c r="N70" s="91">
        <v>0</v>
      </c>
      <c r="O70" s="29">
        <v>0</v>
      </c>
      <c r="P70" s="29">
        <v>0</v>
      </c>
      <c r="Q70" s="29">
        <v>0</v>
      </c>
      <c r="R70" s="29">
        <v>0</v>
      </c>
      <c r="S70" s="23" t="s">
        <v>20</v>
      </c>
    </row>
    <row r="71" spans="1:31" s="46" customFormat="1" ht="16.5" x14ac:dyDescent="0.25">
      <c r="A71" s="80">
        <f t="shared" si="74"/>
        <v>49</v>
      </c>
      <c r="B71" s="33" t="s">
        <v>24</v>
      </c>
      <c r="C71" s="104">
        <f>SUM(E71:R71)</f>
        <v>3757566.4</v>
      </c>
      <c r="D71" s="105"/>
      <c r="E71" s="29">
        <v>0</v>
      </c>
      <c r="F71" s="29">
        <v>0</v>
      </c>
      <c r="G71" s="29">
        <v>0</v>
      </c>
      <c r="H71" s="38">
        <v>0</v>
      </c>
      <c r="I71" s="38">
        <v>0</v>
      </c>
      <c r="J71" s="29">
        <v>0</v>
      </c>
      <c r="K71" s="29">
        <v>0</v>
      </c>
      <c r="L71" s="29">
        <f>329764-329764</f>
        <v>0</v>
      </c>
      <c r="M71" s="30">
        <v>0</v>
      </c>
      <c r="N71" s="91">
        <v>3157566.4</v>
      </c>
      <c r="O71" s="29">
        <v>600000</v>
      </c>
      <c r="P71" s="29">
        <v>0</v>
      </c>
      <c r="Q71" s="29">
        <v>0</v>
      </c>
      <c r="R71" s="29">
        <v>0</v>
      </c>
      <c r="S71" s="23" t="s">
        <v>20</v>
      </c>
    </row>
    <row r="72" spans="1:31" s="22" customFormat="1" ht="16.5" customHeight="1" x14ac:dyDescent="0.25">
      <c r="A72" s="80">
        <f t="shared" si="74"/>
        <v>50</v>
      </c>
      <c r="B72" s="111" t="s">
        <v>25</v>
      </c>
      <c r="C72" s="112"/>
      <c r="D72" s="42">
        <f>SUM(E72:R72)</f>
        <v>0</v>
      </c>
      <c r="E72" s="43">
        <v>0</v>
      </c>
      <c r="F72" s="43">
        <v>0</v>
      </c>
      <c r="G72" s="43">
        <v>0</v>
      </c>
      <c r="H72" s="44">
        <v>0</v>
      </c>
      <c r="I72" s="44">
        <v>0</v>
      </c>
      <c r="J72" s="43">
        <v>0</v>
      </c>
      <c r="K72" s="43">
        <v>0</v>
      </c>
      <c r="L72" s="43">
        <v>0</v>
      </c>
      <c r="M72" s="45">
        <v>0</v>
      </c>
      <c r="N72" s="93">
        <v>0</v>
      </c>
      <c r="O72" s="43">
        <v>0</v>
      </c>
      <c r="P72" s="43">
        <v>0</v>
      </c>
      <c r="Q72" s="43">
        <v>0</v>
      </c>
      <c r="R72" s="43">
        <v>0</v>
      </c>
      <c r="S72" s="23" t="s">
        <v>20</v>
      </c>
    </row>
    <row r="73" spans="1:31" s="22" customFormat="1" ht="21" customHeight="1" x14ac:dyDescent="0.25">
      <c r="A73" s="119" t="s">
        <v>39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1"/>
    </row>
    <row r="74" spans="1:31" s="98" customFormat="1" ht="66.75" customHeight="1" x14ac:dyDescent="0.25">
      <c r="A74" s="90">
        <f>A72+1</f>
        <v>51</v>
      </c>
      <c r="B74" s="170" t="s">
        <v>40</v>
      </c>
      <c r="C74" s="171"/>
      <c r="D74" s="96">
        <f>SUM(E74:R74)</f>
        <v>86698148.49000001</v>
      </c>
      <c r="E74" s="96">
        <f t="shared" ref="E74:R74" si="76">SUM(E75:E78)</f>
        <v>42562</v>
      </c>
      <c r="F74" s="96">
        <f t="shared" si="76"/>
        <v>0</v>
      </c>
      <c r="G74" s="96">
        <f t="shared" si="76"/>
        <v>1074858.5</v>
      </c>
      <c r="H74" s="96">
        <f t="shared" si="76"/>
        <v>1113469</v>
      </c>
      <c r="I74" s="96">
        <f t="shared" si="76"/>
        <v>15799827.560000001</v>
      </c>
      <c r="J74" s="96">
        <f t="shared" si="76"/>
        <v>30365931.84</v>
      </c>
      <c r="K74" s="96">
        <f t="shared" si="76"/>
        <v>8721339.1900000013</v>
      </c>
      <c r="L74" s="96">
        <f t="shared" si="76"/>
        <v>26388860.400000002</v>
      </c>
      <c r="M74" s="96">
        <f t="shared" si="76"/>
        <v>0</v>
      </c>
      <c r="N74" s="96">
        <f t="shared" si="76"/>
        <v>0</v>
      </c>
      <c r="O74" s="96">
        <f t="shared" si="76"/>
        <v>2400000</v>
      </c>
      <c r="P74" s="96">
        <f t="shared" si="76"/>
        <v>405600</v>
      </c>
      <c r="Q74" s="96">
        <f t="shared" si="76"/>
        <v>385700</v>
      </c>
      <c r="R74" s="96">
        <f t="shared" si="76"/>
        <v>0</v>
      </c>
      <c r="S74" s="90" t="s">
        <v>104</v>
      </c>
    </row>
    <row r="75" spans="1:31" s="22" customFormat="1" ht="16.5" x14ac:dyDescent="0.25">
      <c r="A75" s="23">
        <f>A74+1</f>
        <v>52</v>
      </c>
      <c r="B75" s="111" t="s">
        <v>22</v>
      </c>
      <c r="C75" s="112"/>
      <c r="D75" s="28">
        <f t="shared" ref="D75:D78" si="77">SUM(E75:R75)</f>
        <v>0</v>
      </c>
      <c r="E75" s="29">
        <f t="shared" ref="E75:O75" si="78">E81</f>
        <v>0</v>
      </c>
      <c r="F75" s="29">
        <f t="shared" si="78"/>
        <v>0</v>
      </c>
      <c r="G75" s="29">
        <f t="shared" si="78"/>
        <v>0</v>
      </c>
      <c r="H75" s="38">
        <f t="shared" si="78"/>
        <v>0</v>
      </c>
      <c r="I75" s="38">
        <f t="shared" si="78"/>
        <v>0</v>
      </c>
      <c r="J75" s="29">
        <f t="shared" si="78"/>
        <v>0</v>
      </c>
      <c r="K75" s="29">
        <f t="shared" si="78"/>
        <v>0</v>
      </c>
      <c r="L75" s="29">
        <f t="shared" si="78"/>
        <v>0</v>
      </c>
      <c r="M75" s="30">
        <f t="shared" si="78"/>
        <v>0</v>
      </c>
      <c r="N75" s="91">
        <f t="shared" si="78"/>
        <v>0</v>
      </c>
      <c r="O75" s="29">
        <f t="shared" si="78"/>
        <v>0</v>
      </c>
      <c r="P75" s="29">
        <f t="shared" ref="P75:Q75" si="79">P81</f>
        <v>0</v>
      </c>
      <c r="Q75" s="29">
        <f t="shared" si="79"/>
        <v>0</v>
      </c>
      <c r="R75" s="29">
        <f t="shared" ref="R75" si="80">R81</f>
        <v>0</v>
      </c>
      <c r="S75" s="23" t="s">
        <v>27</v>
      </c>
    </row>
    <row r="76" spans="1:31" s="49" customFormat="1" ht="16.5" x14ac:dyDescent="0.25">
      <c r="A76" s="23">
        <f t="shared" ref="A76:A78" si="81">A75+1</f>
        <v>53</v>
      </c>
      <c r="B76" s="111" t="s">
        <v>23</v>
      </c>
      <c r="C76" s="112"/>
      <c r="D76" s="28">
        <f t="shared" si="77"/>
        <v>60875782.719999999</v>
      </c>
      <c r="E76" s="29">
        <f>E82</f>
        <v>0</v>
      </c>
      <c r="F76" s="29">
        <f>F82</f>
        <v>0</v>
      </c>
      <c r="G76" s="29">
        <f>G82</f>
        <v>0</v>
      </c>
      <c r="H76" s="38">
        <f t="shared" ref="H76:O76" si="82">H82+H88</f>
        <v>128400</v>
      </c>
      <c r="I76" s="38">
        <f t="shared" si="82"/>
        <v>12476100</v>
      </c>
      <c r="J76" s="29">
        <f t="shared" si="82"/>
        <v>22365851.84</v>
      </c>
      <c r="K76" s="29">
        <f t="shared" si="82"/>
        <v>4587865.4400000004</v>
      </c>
      <c r="L76" s="29">
        <f t="shared" si="82"/>
        <v>21317565.440000001</v>
      </c>
      <c r="M76" s="30">
        <f t="shared" si="82"/>
        <v>0</v>
      </c>
      <c r="N76" s="91">
        <f t="shared" si="82"/>
        <v>0</v>
      </c>
      <c r="O76" s="29">
        <f t="shared" si="82"/>
        <v>0</v>
      </c>
      <c r="P76" s="29">
        <f t="shared" ref="P76:Q76" si="83">P82+P88</f>
        <v>0</v>
      </c>
      <c r="Q76" s="29">
        <f t="shared" si="83"/>
        <v>0</v>
      </c>
      <c r="R76" s="29">
        <f t="shared" ref="R76" si="84">R82+R88</f>
        <v>0</v>
      </c>
      <c r="S76" s="23" t="s">
        <v>27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2" customFormat="1" ht="16.5" x14ac:dyDescent="0.25">
      <c r="A77" s="23">
        <f t="shared" si="81"/>
        <v>54</v>
      </c>
      <c r="B77" s="111" t="s">
        <v>24</v>
      </c>
      <c r="C77" s="112"/>
      <c r="D77" s="28">
        <f t="shared" si="77"/>
        <v>25822365.770000003</v>
      </c>
      <c r="E77" s="38">
        <f>E89+E83</f>
        <v>42562</v>
      </c>
      <c r="F77" s="38">
        <f>F89+F83</f>
        <v>0</v>
      </c>
      <c r="G77" s="38">
        <f>G89+G83</f>
        <v>1074858.5</v>
      </c>
      <c r="H77" s="38">
        <f>H89+H83</f>
        <v>985069</v>
      </c>
      <c r="I77" s="38">
        <f>I89+I83</f>
        <v>3323727.56</v>
      </c>
      <c r="J77" s="29">
        <f>J83+J89</f>
        <v>8000080</v>
      </c>
      <c r="K77" s="29">
        <f>K89+K83</f>
        <v>4133473.75</v>
      </c>
      <c r="L77" s="29">
        <f>L89+L83</f>
        <v>5071294.96</v>
      </c>
      <c r="M77" s="30">
        <f>M89+M83</f>
        <v>0</v>
      </c>
      <c r="N77" s="91">
        <f>N89+N83</f>
        <v>0</v>
      </c>
      <c r="O77" s="29">
        <f>O89+O83</f>
        <v>2400000</v>
      </c>
      <c r="P77" s="29">
        <f t="shared" ref="P77:R77" si="85">P89+P83</f>
        <v>405600</v>
      </c>
      <c r="Q77" s="29">
        <f t="shared" si="85"/>
        <v>385700</v>
      </c>
      <c r="R77" s="29">
        <f t="shared" si="85"/>
        <v>0</v>
      </c>
      <c r="S77" s="23" t="s">
        <v>27</v>
      </c>
    </row>
    <row r="78" spans="1:31" s="22" customFormat="1" ht="16.5" x14ac:dyDescent="0.25">
      <c r="A78" s="23">
        <f t="shared" si="81"/>
        <v>55</v>
      </c>
      <c r="B78" s="111" t="s">
        <v>25</v>
      </c>
      <c r="C78" s="112"/>
      <c r="D78" s="28">
        <f t="shared" si="77"/>
        <v>0</v>
      </c>
      <c r="E78" s="29">
        <f t="shared" ref="E78:K78" si="86">E84</f>
        <v>0</v>
      </c>
      <c r="F78" s="29">
        <f t="shared" si="86"/>
        <v>0</v>
      </c>
      <c r="G78" s="29">
        <f t="shared" si="86"/>
        <v>0</v>
      </c>
      <c r="H78" s="38">
        <f t="shared" si="86"/>
        <v>0</v>
      </c>
      <c r="I78" s="38">
        <f t="shared" si="86"/>
        <v>0</v>
      </c>
      <c r="J78" s="29">
        <f t="shared" si="86"/>
        <v>0</v>
      </c>
      <c r="K78" s="29">
        <f t="shared" si="86"/>
        <v>0</v>
      </c>
      <c r="L78" s="29">
        <v>0</v>
      </c>
      <c r="M78" s="30">
        <v>0</v>
      </c>
      <c r="N78" s="91">
        <v>0</v>
      </c>
      <c r="O78" s="29">
        <v>0</v>
      </c>
      <c r="P78" s="29">
        <v>0</v>
      </c>
      <c r="Q78" s="29">
        <v>0</v>
      </c>
      <c r="R78" s="29">
        <v>0</v>
      </c>
      <c r="S78" s="23" t="s">
        <v>27</v>
      </c>
    </row>
    <row r="79" spans="1:31" s="22" customFormat="1" ht="21" customHeight="1" x14ac:dyDescent="0.25">
      <c r="A79" s="119" t="s">
        <v>26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1"/>
    </row>
    <row r="80" spans="1:31" s="22" customFormat="1" ht="16.5" x14ac:dyDescent="0.25">
      <c r="A80" s="23">
        <f>A78+1</f>
        <v>56</v>
      </c>
      <c r="B80" s="119" t="s">
        <v>26</v>
      </c>
      <c r="C80" s="121"/>
      <c r="D80" s="28">
        <f>SUM(E80:R80)</f>
        <v>1361292.56</v>
      </c>
      <c r="E80" s="28">
        <f t="shared" ref="E80:K80" si="87">SUM(E81:E84)</f>
        <v>0</v>
      </c>
      <c r="F80" s="28">
        <f t="shared" si="87"/>
        <v>0</v>
      </c>
      <c r="G80" s="28">
        <f t="shared" si="87"/>
        <v>0</v>
      </c>
      <c r="H80" s="37">
        <f t="shared" si="87"/>
        <v>483765</v>
      </c>
      <c r="I80" s="37">
        <f t="shared" si="87"/>
        <v>377527.56</v>
      </c>
      <c r="J80" s="28">
        <f t="shared" si="87"/>
        <v>500000</v>
      </c>
      <c r="K80" s="28">
        <f t="shared" si="87"/>
        <v>0</v>
      </c>
      <c r="L80" s="28">
        <v>0</v>
      </c>
      <c r="M80" s="35">
        <v>0</v>
      </c>
      <c r="N80" s="92">
        <v>0</v>
      </c>
      <c r="O80" s="28">
        <v>0</v>
      </c>
      <c r="P80" s="28">
        <v>0</v>
      </c>
      <c r="Q80" s="28">
        <v>0</v>
      </c>
      <c r="R80" s="28">
        <v>0</v>
      </c>
      <c r="S80" s="23" t="s">
        <v>27</v>
      </c>
    </row>
    <row r="81" spans="1:31" s="22" customFormat="1" ht="16.5" x14ac:dyDescent="0.25">
      <c r="A81" s="23">
        <f>A80+1</f>
        <v>57</v>
      </c>
      <c r="B81" s="111" t="s">
        <v>41</v>
      </c>
      <c r="C81" s="112"/>
      <c r="D81" s="28">
        <f t="shared" ref="D81:D84" si="88">SUM(E81:R81)</f>
        <v>0</v>
      </c>
      <c r="E81" s="29">
        <f t="shared" ref="E81:O81" si="89">E87</f>
        <v>0</v>
      </c>
      <c r="F81" s="29">
        <f t="shared" si="89"/>
        <v>0</v>
      </c>
      <c r="G81" s="29">
        <f t="shared" si="89"/>
        <v>0</v>
      </c>
      <c r="H81" s="38">
        <f t="shared" si="89"/>
        <v>0</v>
      </c>
      <c r="I81" s="38">
        <f t="shared" si="89"/>
        <v>0</v>
      </c>
      <c r="J81" s="29">
        <f t="shared" si="89"/>
        <v>0</v>
      </c>
      <c r="K81" s="29">
        <f t="shared" si="89"/>
        <v>0</v>
      </c>
      <c r="L81" s="29">
        <f t="shared" si="89"/>
        <v>0</v>
      </c>
      <c r="M81" s="30">
        <f t="shared" si="89"/>
        <v>0</v>
      </c>
      <c r="N81" s="91">
        <f t="shared" si="89"/>
        <v>0</v>
      </c>
      <c r="O81" s="29">
        <f t="shared" si="89"/>
        <v>0</v>
      </c>
      <c r="P81" s="29">
        <f t="shared" ref="P81:R81" si="90">P87</f>
        <v>0</v>
      </c>
      <c r="Q81" s="29">
        <f t="shared" si="90"/>
        <v>0</v>
      </c>
      <c r="R81" s="29">
        <f t="shared" si="90"/>
        <v>0</v>
      </c>
      <c r="S81" s="23" t="s">
        <v>27</v>
      </c>
    </row>
    <row r="82" spans="1:31" s="50" customFormat="1" ht="16.5" x14ac:dyDescent="0.25">
      <c r="A82" s="23">
        <f t="shared" ref="A82:A84" si="91">A81+1</f>
        <v>58</v>
      </c>
      <c r="B82" s="111" t="s">
        <v>23</v>
      </c>
      <c r="C82" s="112"/>
      <c r="D82" s="28">
        <f t="shared" si="88"/>
        <v>254500</v>
      </c>
      <c r="E82" s="29">
        <f>E88</f>
        <v>0</v>
      </c>
      <c r="F82" s="29">
        <f>F88</f>
        <v>0</v>
      </c>
      <c r="G82" s="29">
        <f>G88</f>
        <v>0</v>
      </c>
      <c r="H82" s="38">
        <v>128400</v>
      </c>
      <c r="I82" s="38">
        <v>126100</v>
      </c>
      <c r="J82" s="29">
        <v>0</v>
      </c>
      <c r="K82" s="29">
        <v>0</v>
      </c>
      <c r="L82" s="29">
        <v>0</v>
      </c>
      <c r="M82" s="30">
        <f>M88</f>
        <v>0</v>
      </c>
      <c r="N82" s="91">
        <f>N88</f>
        <v>0</v>
      </c>
      <c r="O82" s="29">
        <f>O88</f>
        <v>0</v>
      </c>
      <c r="P82" s="29">
        <f t="shared" ref="P82:R82" si="92">P88</f>
        <v>0</v>
      </c>
      <c r="Q82" s="29">
        <f t="shared" si="92"/>
        <v>0</v>
      </c>
      <c r="R82" s="29">
        <f t="shared" si="92"/>
        <v>0</v>
      </c>
      <c r="S82" s="23" t="s">
        <v>27</v>
      </c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s="22" customFormat="1" ht="16.5" x14ac:dyDescent="0.25">
      <c r="A83" s="23">
        <f t="shared" si="91"/>
        <v>59</v>
      </c>
      <c r="B83" s="111" t="s">
        <v>24</v>
      </c>
      <c r="C83" s="112"/>
      <c r="D83" s="28">
        <f t="shared" si="88"/>
        <v>1106792.56</v>
      </c>
      <c r="E83" s="29">
        <v>0</v>
      </c>
      <c r="F83" s="29">
        <f>F89</f>
        <v>0</v>
      </c>
      <c r="G83" s="29">
        <v>0</v>
      </c>
      <c r="H83" s="38">
        <f>H129</f>
        <v>355365</v>
      </c>
      <c r="I83" s="38">
        <v>251427.56</v>
      </c>
      <c r="J83" s="29">
        <f>J129</f>
        <v>500000</v>
      </c>
      <c r="K83" s="29">
        <v>0</v>
      </c>
      <c r="L83" s="29">
        <v>0</v>
      </c>
      <c r="M83" s="30">
        <v>0</v>
      </c>
      <c r="N83" s="91">
        <v>0</v>
      </c>
      <c r="O83" s="29">
        <v>0</v>
      </c>
      <c r="P83" s="29">
        <v>0</v>
      </c>
      <c r="Q83" s="29">
        <v>0</v>
      </c>
      <c r="R83" s="29">
        <v>0</v>
      </c>
      <c r="S83" s="23" t="s">
        <v>27</v>
      </c>
    </row>
    <row r="84" spans="1:31" s="22" customFormat="1" ht="16.5" x14ac:dyDescent="0.25">
      <c r="A84" s="23">
        <f t="shared" si="91"/>
        <v>60</v>
      </c>
      <c r="B84" s="111" t="s">
        <v>25</v>
      </c>
      <c r="C84" s="112"/>
      <c r="D84" s="28">
        <f t="shared" si="88"/>
        <v>0</v>
      </c>
      <c r="E84" s="29">
        <f>E90</f>
        <v>0</v>
      </c>
      <c r="F84" s="29">
        <f>F90</f>
        <v>0</v>
      </c>
      <c r="G84" s="29">
        <f t="shared" ref="G84:O84" si="93">G90</f>
        <v>0</v>
      </c>
      <c r="H84" s="38">
        <f t="shared" si="93"/>
        <v>0</v>
      </c>
      <c r="I84" s="38">
        <f t="shared" si="93"/>
        <v>0</v>
      </c>
      <c r="J84" s="29">
        <f t="shared" si="93"/>
        <v>0</v>
      </c>
      <c r="K84" s="29">
        <f t="shared" si="93"/>
        <v>0</v>
      </c>
      <c r="L84" s="29">
        <f t="shared" si="93"/>
        <v>0</v>
      </c>
      <c r="M84" s="30">
        <f t="shared" si="93"/>
        <v>0</v>
      </c>
      <c r="N84" s="91">
        <f t="shared" si="93"/>
        <v>0</v>
      </c>
      <c r="O84" s="29">
        <f t="shared" si="93"/>
        <v>0</v>
      </c>
      <c r="P84" s="29">
        <f t="shared" ref="P84:R84" si="94">P90</f>
        <v>0</v>
      </c>
      <c r="Q84" s="29">
        <f t="shared" si="94"/>
        <v>0</v>
      </c>
      <c r="R84" s="29">
        <f t="shared" si="94"/>
        <v>0</v>
      </c>
      <c r="S84" s="23" t="s">
        <v>27</v>
      </c>
    </row>
    <row r="85" spans="1:31" s="22" customFormat="1" ht="16.5" x14ac:dyDescent="0.25">
      <c r="A85" s="119" t="s">
        <v>42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1"/>
    </row>
    <row r="86" spans="1:31" s="22" customFormat="1" ht="55.5" customHeight="1" x14ac:dyDescent="0.25">
      <c r="A86" s="23">
        <f>A84+1</f>
        <v>61</v>
      </c>
      <c r="B86" s="119" t="s">
        <v>43</v>
      </c>
      <c r="C86" s="121"/>
      <c r="D86" s="28">
        <f>SUM(E86:R86)</f>
        <v>85336855.930000007</v>
      </c>
      <c r="E86" s="28">
        <f t="shared" ref="E86:O86" si="95">SUM(E87:E90)</f>
        <v>42562</v>
      </c>
      <c r="F86" s="28">
        <f t="shared" si="95"/>
        <v>0</v>
      </c>
      <c r="G86" s="28">
        <f t="shared" si="95"/>
        <v>1074858.5</v>
      </c>
      <c r="H86" s="28">
        <f t="shared" si="95"/>
        <v>629704</v>
      </c>
      <c r="I86" s="28">
        <f t="shared" si="95"/>
        <v>15422300</v>
      </c>
      <c r="J86" s="28">
        <f t="shared" si="95"/>
        <v>29865931.84</v>
      </c>
      <c r="K86" s="28">
        <f t="shared" si="95"/>
        <v>8721339.1900000013</v>
      </c>
      <c r="L86" s="28">
        <f t="shared" si="95"/>
        <v>26388860.400000002</v>
      </c>
      <c r="M86" s="35">
        <f t="shared" si="95"/>
        <v>0</v>
      </c>
      <c r="N86" s="92">
        <f t="shared" si="95"/>
        <v>0</v>
      </c>
      <c r="O86" s="28">
        <f t="shared" si="95"/>
        <v>2400000</v>
      </c>
      <c r="P86" s="28">
        <f t="shared" ref="P86" si="96">SUM(P87:P90)</f>
        <v>405600</v>
      </c>
      <c r="Q86" s="28">
        <f t="shared" ref="Q86" si="97">SUM(Q87:Q90)</f>
        <v>385700</v>
      </c>
      <c r="R86" s="28">
        <f t="shared" ref="R86" si="98">SUM(R87:R90)</f>
        <v>0</v>
      </c>
      <c r="S86" s="23" t="s">
        <v>104</v>
      </c>
    </row>
    <row r="87" spans="1:31" s="22" customFormat="1" ht="16.5" x14ac:dyDescent="0.25">
      <c r="A87" s="23">
        <f>A86+1</f>
        <v>62</v>
      </c>
      <c r="B87" s="111" t="s">
        <v>41</v>
      </c>
      <c r="C87" s="112"/>
      <c r="D87" s="28">
        <f t="shared" ref="D87:D90" si="99">SUM(E87:R87)</f>
        <v>0</v>
      </c>
      <c r="E87" s="29">
        <f t="shared" ref="E87:N87" si="100">E93</f>
        <v>0</v>
      </c>
      <c r="F87" s="29">
        <f t="shared" si="100"/>
        <v>0</v>
      </c>
      <c r="G87" s="29">
        <f t="shared" si="100"/>
        <v>0</v>
      </c>
      <c r="H87" s="38">
        <f t="shared" si="100"/>
        <v>0</v>
      </c>
      <c r="I87" s="38">
        <f t="shared" si="100"/>
        <v>0</v>
      </c>
      <c r="J87" s="29">
        <f t="shared" si="100"/>
        <v>0</v>
      </c>
      <c r="K87" s="29">
        <f t="shared" si="100"/>
        <v>0</v>
      </c>
      <c r="L87" s="29">
        <f t="shared" si="100"/>
        <v>0</v>
      </c>
      <c r="M87" s="30">
        <f t="shared" si="100"/>
        <v>0</v>
      </c>
      <c r="N87" s="91">
        <f t="shared" si="100"/>
        <v>0</v>
      </c>
      <c r="O87" s="29">
        <v>0</v>
      </c>
      <c r="P87" s="29">
        <v>0</v>
      </c>
      <c r="Q87" s="29">
        <v>0</v>
      </c>
      <c r="R87" s="29">
        <v>0</v>
      </c>
      <c r="S87" s="23" t="s">
        <v>20</v>
      </c>
    </row>
    <row r="88" spans="1:31" s="49" customFormat="1" ht="16.5" x14ac:dyDescent="0.25">
      <c r="A88" s="23">
        <f t="shared" ref="A88:A90" si="101">A87+1</f>
        <v>63</v>
      </c>
      <c r="B88" s="111" t="s">
        <v>23</v>
      </c>
      <c r="C88" s="112"/>
      <c r="D88" s="28">
        <f t="shared" si="99"/>
        <v>60621282.719999999</v>
      </c>
      <c r="E88" s="29">
        <f t="shared" ref="E88:G90" si="102">E94</f>
        <v>0</v>
      </c>
      <c r="F88" s="29">
        <f t="shared" si="102"/>
        <v>0</v>
      </c>
      <c r="G88" s="29">
        <f t="shared" si="102"/>
        <v>0</v>
      </c>
      <c r="H88" s="38">
        <v>0</v>
      </c>
      <c r="I88" s="38">
        <f t="shared" ref="I88:O89" si="103">I94</f>
        <v>12350000</v>
      </c>
      <c r="J88" s="29">
        <f t="shared" si="103"/>
        <v>22365851.84</v>
      </c>
      <c r="K88" s="29">
        <f t="shared" si="103"/>
        <v>4587865.4400000004</v>
      </c>
      <c r="L88" s="29">
        <f t="shared" si="103"/>
        <v>21317565.440000001</v>
      </c>
      <c r="M88" s="30">
        <f t="shared" si="103"/>
        <v>0</v>
      </c>
      <c r="N88" s="91">
        <f t="shared" si="103"/>
        <v>0</v>
      </c>
      <c r="O88" s="29">
        <f t="shared" si="103"/>
        <v>0</v>
      </c>
      <c r="P88" s="29">
        <f t="shared" ref="P88:R88" si="104">P94</f>
        <v>0</v>
      </c>
      <c r="Q88" s="29">
        <f t="shared" si="104"/>
        <v>0</v>
      </c>
      <c r="R88" s="29">
        <f t="shared" si="104"/>
        <v>0</v>
      </c>
      <c r="S88" s="23" t="s">
        <v>20</v>
      </c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s="36" customFormat="1" ht="16.5" x14ac:dyDescent="0.25">
      <c r="A89" s="23">
        <f t="shared" si="101"/>
        <v>64</v>
      </c>
      <c r="B89" s="111" t="s">
        <v>24</v>
      </c>
      <c r="C89" s="112"/>
      <c r="D89" s="28">
        <f t="shared" si="99"/>
        <v>24715573.210000001</v>
      </c>
      <c r="E89" s="38">
        <f t="shared" si="102"/>
        <v>42562</v>
      </c>
      <c r="F89" s="38">
        <f t="shared" si="102"/>
        <v>0</v>
      </c>
      <c r="G89" s="38">
        <f t="shared" si="102"/>
        <v>1074858.5</v>
      </c>
      <c r="H89" s="38">
        <f>H95</f>
        <v>629704</v>
      </c>
      <c r="I89" s="38">
        <f t="shared" si="103"/>
        <v>3072300</v>
      </c>
      <c r="J89" s="29">
        <f t="shared" si="103"/>
        <v>7500080</v>
      </c>
      <c r="K89" s="29">
        <f t="shared" si="103"/>
        <v>4133473.75</v>
      </c>
      <c r="L89" s="29">
        <f t="shared" si="103"/>
        <v>5071294.96</v>
      </c>
      <c r="M89" s="30">
        <f t="shared" si="103"/>
        <v>0</v>
      </c>
      <c r="N89" s="91">
        <f t="shared" si="103"/>
        <v>0</v>
      </c>
      <c r="O89" s="29">
        <f>O95+O123</f>
        <v>2400000</v>
      </c>
      <c r="P89" s="29">
        <f t="shared" ref="P89:R89" si="105">P95+P123</f>
        <v>405600</v>
      </c>
      <c r="Q89" s="29">
        <f t="shared" si="105"/>
        <v>385700</v>
      </c>
      <c r="R89" s="29">
        <f t="shared" si="105"/>
        <v>0</v>
      </c>
      <c r="S89" s="23" t="s">
        <v>20</v>
      </c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s="22" customFormat="1" ht="16.5" x14ac:dyDescent="0.25">
      <c r="A90" s="23">
        <f t="shared" si="101"/>
        <v>65</v>
      </c>
      <c r="B90" s="111" t="s">
        <v>25</v>
      </c>
      <c r="C90" s="112"/>
      <c r="D90" s="28">
        <f t="shared" si="99"/>
        <v>0</v>
      </c>
      <c r="E90" s="29">
        <f t="shared" si="102"/>
        <v>0</v>
      </c>
      <c r="F90" s="29">
        <f t="shared" si="102"/>
        <v>0</v>
      </c>
      <c r="G90" s="29">
        <f t="shared" si="102"/>
        <v>0</v>
      </c>
      <c r="H90" s="38">
        <f>H96</f>
        <v>0</v>
      </c>
      <c r="I90" s="38">
        <f>I96</f>
        <v>0</v>
      </c>
      <c r="J90" s="29">
        <f>J96</f>
        <v>0</v>
      </c>
      <c r="K90" s="29">
        <f>K96</f>
        <v>0</v>
      </c>
      <c r="L90" s="29">
        <v>0</v>
      </c>
      <c r="M90" s="30">
        <v>0</v>
      </c>
      <c r="N90" s="91">
        <v>0</v>
      </c>
      <c r="O90" s="29">
        <v>0</v>
      </c>
      <c r="P90" s="29">
        <v>0</v>
      </c>
      <c r="Q90" s="29">
        <v>0</v>
      </c>
      <c r="R90" s="29">
        <v>0</v>
      </c>
      <c r="S90" s="23" t="s">
        <v>20</v>
      </c>
    </row>
    <row r="91" spans="1:31" s="22" customFormat="1" ht="16.5" x14ac:dyDescent="0.25">
      <c r="A91" s="165" t="s">
        <v>44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7"/>
    </row>
    <row r="92" spans="1:31" s="22" customFormat="1" ht="80.25" customHeight="1" x14ac:dyDescent="0.25">
      <c r="A92" s="23">
        <f>A90+1</f>
        <v>66</v>
      </c>
      <c r="B92" s="34" t="s">
        <v>45</v>
      </c>
      <c r="C92" s="23"/>
      <c r="D92" s="28">
        <f>SUM(E92:R92)</f>
        <v>84145555.930000007</v>
      </c>
      <c r="E92" s="28">
        <f t="shared" ref="E92:O92" si="106">SUM(E93:E96)</f>
        <v>42562</v>
      </c>
      <c r="F92" s="28">
        <f t="shared" si="106"/>
        <v>0</v>
      </c>
      <c r="G92" s="28">
        <f t="shared" si="106"/>
        <v>1074858.5</v>
      </c>
      <c r="H92" s="28">
        <f t="shared" si="106"/>
        <v>629704</v>
      </c>
      <c r="I92" s="28">
        <f t="shared" si="106"/>
        <v>15422300</v>
      </c>
      <c r="J92" s="28">
        <f t="shared" si="106"/>
        <v>29865931.84</v>
      </c>
      <c r="K92" s="28">
        <f t="shared" si="106"/>
        <v>8721339.1900000013</v>
      </c>
      <c r="L92" s="28">
        <f t="shared" si="106"/>
        <v>26388860.400000002</v>
      </c>
      <c r="M92" s="35">
        <f t="shared" si="106"/>
        <v>0</v>
      </c>
      <c r="N92" s="92">
        <f t="shared" si="106"/>
        <v>0</v>
      </c>
      <c r="O92" s="28">
        <f t="shared" si="106"/>
        <v>2000000</v>
      </c>
      <c r="P92" s="28">
        <f t="shared" ref="P92" si="107">SUM(P93:P96)</f>
        <v>0</v>
      </c>
      <c r="Q92" s="28">
        <f t="shared" ref="Q92" si="108">SUM(Q93:Q96)</f>
        <v>0</v>
      </c>
      <c r="R92" s="28">
        <f t="shared" ref="R92" si="109">SUM(R93:R96)</f>
        <v>0</v>
      </c>
      <c r="S92" s="102" t="s">
        <v>104</v>
      </c>
    </row>
    <row r="93" spans="1:31" s="22" customFormat="1" ht="16.5" x14ac:dyDescent="0.25">
      <c r="A93" s="23">
        <f>A92+1</f>
        <v>67</v>
      </c>
      <c r="B93" s="111" t="s">
        <v>41</v>
      </c>
      <c r="C93" s="112"/>
      <c r="D93" s="28">
        <f t="shared" ref="D93:D96" si="110">SUM(E93:R93)</f>
        <v>0</v>
      </c>
      <c r="E93" s="29">
        <f>E99+E105+E111</f>
        <v>0</v>
      </c>
      <c r="F93" s="29">
        <f>F99+F105+F111</f>
        <v>0</v>
      </c>
      <c r="G93" s="29">
        <f>G99+G105+G111</f>
        <v>0</v>
      </c>
      <c r="H93" s="38">
        <f>H99+H105+H111</f>
        <v>0</v>
      </c>
      <c r="I93" s="38">
        <f>I99+I105+I111</f>
        <v>0</v>
      </c>
      <c r="J93" s="29">
        <f>J111+J116</f>
        <v>0</v>
      </c>
      <c r="K93" s="29">
        <f>K99+K105+K111</f>
        <v>0</v>
      </c>
      <c r="L93" s="29">
        <v>0</v>
      </c>
      <c r="M93" s="30">
        <v>0</v>
      </c>
      <c r="N93" s="91">
        <v>0</v>
      </c>
      <c r="O93" s="28">
        <v>0</v>
      </c>
      <c r="P93" s="28">
        <v>0</v>
      </c>
      <c r="Q93" s="28">
        <v>0</v>
      </c>
      <c r="R93" s="28">
        <v>0</v>
      </c>
      <c r="S93" s="103"/>
    </row>
    <row r="94" spans="1:31" s="49" customFormat="1" ht="16.5" x14ac:dyDescent="0.25">
      <c r="A94" s="23">
        <f t="shared" ref="A94:A96" si="111">A93+1</f>
        <v>68</v>
      </c>
      <c r="B94" s="111" t="s">
        <v>23</v>
      </c>
      <c r="C94" s="112"/>
      <c r="D94" s="28">
        <f t="shared" si="110"/>
        <v>60621282.719999999</v>
      </c>
      <c r="E94" s="29">
        <f t="shared" ref="E94:G96" si="112">E100+E106+E112</f>
        <v>0</v>
      </c>
      <c r="F94" s="29">
        <f t="shared" si="112"/>
        <v>0</v>
      </c>
      <c r="G94" s="29">
        <f t="shared" si="112"/>
        <v>0</v>
      </c>
      <c r="H94" s="38">
        <v>0</v>
      </c>
      <c r="I94" s="38">
        <f>I100+I106+I112</f>
        <v>12350000</v>
      </c>
      <c r="J94" s="29">
        <f>J100+J106+J112</f>
        <v>22365851.84</v>
      </c>
      <c r="K94" s="29">
        <f>K100+K106+K112</f>
        <v>4587865.4400000004</v>
      </c>
      <c r="L94" s="29">
        <f>L100+L106+L112</f>
        <v>21317565.440000001</v>
      </c>
      <c r="M94" s="30">
        <v>0</v>
      </c>
      <c r="N94" s="91">
        <v>0</v>
      </c>
      <c r="O94" s="28">
        <v>0</v>
      </c>
      <c r="P94" s="28">
        <v>0</v>
      </c>
      <c r="Q94" s="28">
        <v>0</v>
      </c>
      <c r="R94" s="28">
        <v>0</v>
      </c>
      <c r="S94" s="23" t="s">
        <v>20</v>
      </c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s="22" customFormat="1" ht="16.5" x14ac:dyDescent="0.25">
      <c r="A95" s="23">
        <f t="shared" si="111"/>
        <v>69</v>
      </c>
      <c r="B95" s="111" t="s">
        <v>24</v>
      </c>
      <c r="C95" s="112"/>
      <c r="D95" s="28">
        <f t="shared" si="110"/>
        <v>23524273.210000001</v>
      </c>
      <c r="E95" s="29">
        <f t="shared" si="112"/>
        <v>42562</v>
      </c>
      <c r="F95" s="29">
        <f t="shared" si="112"/>
        <v>0</v>
      </c>
      <c r="G95" s="29">
        <f t="shared" si="112"/>
        <v>1074858.5</v>
      </c>
      <c r="H95" s="38">
        <f>H113</f>
        <v>629704</v>
      </c>
      <c r="I95" s="38">
        <f>I101+I107+I113</f>
        <v>3072300</v>
      </c>
      <c r="J95" s="29">
        <f>J101+J107+J113+J118</f>
        <v>7500080</v>
      </c>
      <c r="K95" s="29">
        <f>K101+K107+K113</f>
        <v>4133473.75</v>
      </c>
      <c r="L95" s="29">
        <f>L101+L107+L113+L135</f>
        <v>5071294.96</v>
      </c>
      <c r="M95" s="30">
        <f>M101+M107+M113</f>
        <v>0</v>
      </c>
      <c r="N95" s="91">
        <f>N101+N107+N113</f>
        <v>0</v>
      </c>
      <c r="O95" s="29">
        <f>O101+O107+O113</f>
        <v>2000000</v>
      </c>
      <c r="P95" s="29">
        <f t="shared" ref="P95:R95" si="113">P101+P107+P113</f>
        <v>0</v>
      </c>
      <c r="Q95" s="29">
        <f t="shared" si="113"/>
        <v>0</v>
      </c>
      <c r="R95" s="29">
        <f t="shared" si="113"/>
        <v>0</v>
      </c>
      <c r="S95" s="23" t="s">
        <v>20</v>
      </c>
    </row>
    <row r="96" spans="1:31" s="22" customFormat="1" ht="16.5" x14ac:dyDescent="0.25">
      <c r="A96" s="23">
        <f t="shared" si="111"/>
        <v>70</v>
      </c>
      <c r="B96" s="111" t="s">
        <v>25</v>
      </c>
      <c r="C96" s="112"/>
      <c r="D96" s="28">
        <f t="shared" si="110"/>
        <v>0</v>
      </c>
      <c r="E96" s="29">
        <f t="shared" si="112"/>
        <v>0</v>
      </c>
      <c r="F96" s="29">
        <f t="shared" si="112"/>
        <v>0</v>
      </c>
      <c r="G96" s="29">
        <f t="shared" si="112"/>
        <v>0</v>
      </c>
      <c r="H96" s="38">
        <f>H102+H108+H114</f>
        <v>0</v>
      </c>
      <c r="I96" s="38">
        <f>I102+I108+I114</f>
        <v>0</v>
      </c>
      <c r="J96" s="29">
        <f>J102+J108+J114</f>
        <v>0</v>
      </c>
      <c r="K96" s="29">
        <f>K102+K108+K114</f>
        <v>0</v>
      </c>
      <c r="L96" s="29">
        <v>0</v>
      </c>
      <c r="M96" s="30">
        <v>0</v>
      </c>
      <c r="N96" s="91">
        <v>0</v>
      </c>
      <c r="O96" s="29">
        <v>0</v>
      </c>
      <c r="P96" s="29">
        <v>0</v>
      </c>
      <c r="Q96" s="29">
        <v>0</v>
      </c>
      <c r="R96" s="29">
        <v>0</v>
      </c>
      <c r="S96" s="23" t="s">
        <v>20</v>
      </c>
    </row>
    <row r="97" spans="1:19" s="22" customFormat="1" ht="16.5" customHeight="1" x14ac:dyDescent="0.25">
      <c r="A97" s="122">
        <f>A96+1</f>
        <v>71</v>
      </c>
      <c r="B97" s="139" t="s">
        <v>46</v>
      </c>
      <c r="C97" s="140"/>
      <c r="D97" s="104">
        <f>SUM(E97:R98)</f>
        <v>1117420.5</v>
      </c>
      <c r="E97" s="104">
        <f t="shared" ref="E97:O97" si="114">SUM(E99:E102)</f>
        <v>42562</v>
      </c>
      <c r="F97" s="104">
        <f t="shared" si="114"/>
        <v>0</v>
      </c>
      <c r="G97" s="104">
        <f t="shared" si="114"/>
        <v>1074858.5</v>
      </c>
      <c r="H97" s="104">
        <f t="shared" si="114"/>
        <v>0</v>
      </c>
      <c r="I97" s="104">
        <f t="shared" si="114"/>
        <v>0</v>
      </c>
      <c r="J97" s="104">
        <f t="shared" si="114"/>
        <v>0</v>
      </c>
      <c r="K97" s="104">
        <f t="shared" si="114"/>
        <v>0</v>
      </c>
      <c r="L97" s="104">
        <f t="shared" si="114"/>
        <v>0</v>
      </c>
      <c r="M97" s="115">
        <f t="shared" si="114"/>
        <v>0</v>
      </c>
      <c r="N97" s="109">
        <f t="shared" si="114"/>
        <v>0</v>
      </c>
      <c r="O97" s="104">
        <f t="shared" si="114"/>
        <v>0</v>
      </c>
      <c r="P97" s="104">
        <f t="shared" ref="P97:R97" si="115">SUM(P99:P102)</f>
        <v>0</v>
      </c>
      <c r="Q97" s="104">
        <f t="shared" si="115"/>
        <v>0</v>
      </c>
      <c r="R97" s="104">
        <f t="shared" si="115"/>
        <v>0</v>
      </c>
      <c r="S97" s="102" t="s">
        <v>105</v>
      </c>
    </row>
    <row r="98" spans="1:19" s="22" customFormat="1" ht="40.5" customHeight="1" x14ac:dyDescent="0.25">
      <c r="A98" s="159"/>
      <c r="B98" s="137" t="s">
        <v>47</v>
      </c>
      <c r="C98" s="138"/>
      <c r="D98" s="106"/>
      <c r="E98" s="106"/>
      <c r="F98" s="106"/>
      <c r="G98" s="106"/>
      <c r="H98" s="106"/>
      <c r="I98" s="106"/>
      <c r="J98" s="106"/>
      <c r="K98" s="106"/>
      <c r="L98" s="106"/>
      <c r="M98" s="116"/>
      <c r="N98" s="110"/>
      <c r="O98" s="106"/>
      <c r="P98" s="106"/>
      <c r="Q98" s="106"/>
      <c r="R98" s="106"/>
      <c r="S98" s="103"/>
    </row>
    <row r="99" spans="1:19" s="22" customFormat="1" ht="16.5" x14ac:dyDescent="0.25">
      <c r="A99" s="23">
        <f>A97+1</f>
        <v>72</v>
      </c>
      <c r="B99" s="111" t="s">
        <v>41</v>
      </c>
      <c r="C99" s="112"/>
      <c r="D99" s="28">
        <f>SUM(E99:R99)</f>
        <v>0</v>
      </c>
      <c r="E99" s="29">
        <v>0</v>
      </c>
      <c r="F99" s="29">
        <v>0</v>
      </c>
      <c r="G99" s="29">
        <v>0</v>
      </c>
      <c r="H99" s="38">
        <v>0</v>
      </c>
      <c r="I99" s="38">
        <v>0</v>
      </c>
      <c r="J99" s="29">
        <v>0</v>
      </c>
      <c r="K99" s="29">
        <v>0</v>
      </c>
      <c r="L99" s="29">
        <v>0</v>
      </c>
      <c r="M99" s="30">
        <v>0</v>
      </c>
      <c r="N99" s="91">
        <v>0</v>
      </c>
      <c r="O99" s="29">
        <v>0</v>
      </c>
      <c r="P99" s="29">
        <v>0</v>
      </c>
      <c r="Q99" s="29">
        <v>0</v>
      </c>
      <c r="R99" s="29">
        <v>0</v>
      </c>
      <c r="S99" s="23" t="s">
        <v>20</v>
      </c>
    </row>
    <row r="100" spans="1:19" s="22" customFormat="1" ht="16.5" x14ac:dyDescent="0.25">
      <c r="A100" s="23">
        <f t="shared" ref="A100:A102" si="116">A99+1</f>
        <v>73</v>
      </c>
      <c r="B100" s="111" t="s">
        <v>23</v>
      </c>
      <c r="C100" s="112"/>
      <c r="D100" s="28">
        <f t="shared" ref="D100:D102" si="117">SUM(E100:R100)</f>
        <v>0</v>
      </c>
      <c r="E100" s="29">
        <v>0</v>
      </c>
      <c r="F100" s="29">
        <v>0</v>
      </c>
      <c r="G100" s="29">
        <v>0</v>
      </c>
      <c r="H100" s="38">
        <v>0</v>
      </c>
      <c r="I100" s="38">
        <v>0</v>
      </c>
      <c r="J100" s="29">
        <v>0</v>
      </c>
      <c r="K100" s="29">
        <v>0</v>
      </c>
      <c r="L100" s="29">
        <v>0</v>
      </c>
      <c r="M100" s="30">
        <v>0</v>
      </c>
      <c r="N100" s="91">
        <v>0</v>
      </c>
      <c r="O100" s="29">
        <v>0</v>
      </c>
      <c r="P100" s="29">
        <v>0</v>
      </c>
      <c r="Q100" s="29">
        <v>0</v>
      </c>
      <c r="R100" s="29">
        <v>0</v>
      </c>
      <c r="S100" s="23" t="s">
        <v>20</v>
      </c>
    </row>
    <row r="101" spans="1:19" s="22" customFormat="1" ht="16.5" x14ac:dyDescent="0.25">
      <c r="A101" s="23">
        <f t="shared" si="116"/>
        <v>74</v>
      </c>
      <c r="B101" s="111" t="s">
        <v>24</v>
      </c>
      <c r="C101" s="112"/>
      <c r="D101" s="28">
        <f t="shared" si="117"/>
        <v>1117420.5</v>
      </c>
      <c r="E101" s="29">
        <v>42562</v>
      </c>
      <c r="F101" s="29">
        <v>0</v>
      </c>
      <c r="G101" s="29">
        <v>1074858.5</v>
      </c>
      <c r="H101" s="29">
        <v>0</v>
      </c>
      <c r="I101" s="38">
        <v>0</v>
      </c>
      <c r="J101" s="29">
        <v>0</v>
      </c>
      <c r="K101" s="29">
        <v>0</v>
      </c>
      <c r="L101" s="29">
        <v>0</v>
      </c>
      <c r="M101" s="30">
        <v>0</v>
      </c>
      <c r="N101" s="91">
        <v>0</v>
      </c>
      <c r="O101" s="29">
        <v>0</v>
      </c>
      <c r="P101" s="29">
        <v>0</v>
      </c>
      <c r="Q101" s="29">
        <v>0</v>
      </c>
      <c r="R101" s="29">
        <v>0</v>
      </c>
      <c r="S101" s="23" t="s">
        <v>20</v>
      </c>
    </row>
    <row r="102" spans="1:19" s="22" customFormat="1" ht="16.5" x14ac:dyDescent="0.25">
      <c r="A102" s="23">
        <f t="shared" si="116"/>
        <v>75</v>
      </c>
      <c r="B102" s="111" t="s">
        <v>25</v>
      </c>
      <c r="C102" s="112"/>
      <c r="D102" s="28">
        <f t="shared" si="117"/>
        <v>0</v>
      </c>
      <c r="E102" s="29">
        <v>0</v>
      </c>
      <c r="F102" s="29">
        <v>0</v>
      </c>
      <c r="G102" s="29">
        <v>0</v>
      </c>
      <c r="H102" s="38">
        <v>0</v>
      </c>
      <c r="I102" s="38">
        <v>0</v>
      </c>
      <c r="J102" s="29">
        <v>0</v>
      </c>
      <c r="K102" s="29">
        <v>0</v>
      </c>
      <c r="L102" s="29">
        <v>0</v>
      </c>
      <c r="M102" s="30">
        <v>0</v>
      </c>
      <c r="N102" s="91">
        <v>0</v>
      </c>
      <c r="O102" s="29">
        <v>0</v>
      </c>
      <c r="P102" s="29">
        <v>0</v>
      </c>
      <c r="Q102" s="29">
        <v>0</v>
      </c>
      <c r="R102" s="29">
        <v>0</v>
      </c>
      <c r="S102" s="23" t="s">
        <v>20</v>
      </c>
    </row>
    <row r="103" spans="1:19" s="22" customFormat="1" ht="26.25" customHeight="1" x14ac:dyDescent="0.25">
      <c r="A103" s="102">
        <f>A102+1</f>
        <v>76</v>
      </c>
      <c r="B103" s="40" t="s">
        <v>34</v>
      </c>
      <c r="C103" s="51"/>
      <c r="D103" s="104">
        <f>SUM(E103:R104)</f>
        <v>2000000</v>
      </c>
      <c r="E103" s="104">
        <f>SUM(E105:E108)</f>
        <v>0</v>
      </c>
      <c r="F103" s="104">
        <f t="shared" ref="F103:R103" si="118">SUM(F105:F108)</f>
        <v>0</v>
      </c>
      <c r="G103" s="104">
        <f t="shared" si="118"/>
        <v>0</v>
      </c>
      <c r="H103" s="104">
        <f t="shared" si="118"/>
        <v>0</v>
      </c>
      <c r="I103" s="104">
        <f t="shared" si="118"/>
        <v>0</v>
      </c>
      <c r="J103" s="104">
        <f t="shared" si="118"/>
        <v>0</v>
      </c>
      <c r="K103" s="104">
        <f t="shared" si="118"/>
        <v>0</v>
      </c>
      <c r="L103" s="104">
        <f t="shared" si="118"/>
        <v>0</v>
      </c>
      <c r="M103" s="104">
        <f t="shared" si="118"/>
        <v>0</v>
      </c>
      <c r="N103" s="109">
        <f t="shared" si="118"/>
        <v>0</v>
      </c>
      <c r="O103" s="104">
        <f t="shared" si="118"/>
        <v>2000000</v>
      </c>
      <c r="P103" s="104">
        <f t="shared" si="118"/>
        <v>0</v>
      </c>
      <c r="Q103" s="104">
        <f t="shared" si="118"/>
        <v>0</v>
      </c>
      <c r="R103" s="104">
        <f t="shared" si="118"/>
        <v>0</v>
      </c>
      <c r="S103" s="102" t="s">
        <v>105</v>
      </c>
    </row>
    <row r="104" spans="1:19" s="85" customFormat="1" ht="33" customHeight="1" x14ac:dyDescent="0.25">
      <c r="A104" s="103"/>
      <c r="B104" s="83" t="s">
        <v>99</v>
      </c>
      <c r="C104" s="84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10"/>
      <c r="O104" s="106"/>
      <c r="P104" s="106"/>
      <c r="Q104" s="106"/>
      <c r="R104" s="106"/>
      <c r="S104" s="103"/>
    </row>
    <row r="105" spans="1:19" s="22" customFormat="1" ht="16.5" x14ac:dyDescent="0.25">
      <c r="A105" s="23">
        <f>A103+1</f>
        <v>77</v>
      </c>
      <c r="B105" s="113" t="s">
        <v>41</v>
      </c>
      <c r="C105" s="114"/>
      <c r="D105" s="28">
        <f>SUM(E105:R105)</f>
        <v>0</v>
      </c>
      <c r="E105" s="29">
        <v>0</v>
      </c>
      <c r="F105" s="29">
        <v>0</v>
      </c>
      <c r="G105" s="29">
        <v>0</v>
      </c>
      <c r="H105" s="38">
        <v>0</v>
      </c>
      <c r="I105" s="38">
        <v>0</v>
      </c>
      <c r="J105" s="29">
        <v>0</v>
      </c>
      <c r="K105" s="29">
        <v>0</v>
      </c>
      <c r="L105" s="29">
        <v>0</v>
      </c>
      <c r="M105" s="30">
        <v>0</v>
      </c>
      <c r="N105" s="91">
        <v>0</v>
      </c>
      <c r="O105" s="29">
        <v>0</v>
      </c>
      <c r="P105" s="29">
        <v>0</v>
      </c>
      <c r="Q105" s="29">
        <v>0</v>
      </c>
      <c r="R105" s="29">
        <v>0</v>
      </c>
      <c r="S105" s="23" t="s">
        <v>27</v>
      </c>
    </row>
    <row r="106" spans="1:19" s="22" customFormat="1" ht="16.5" x14ac:dyDescent="0.25">
      <c r="A106" s="23">
        <f t="shared" ref="A106:A108" si="119">A105+1</f>
        <v>78</v>
      </c>
      <c r="B106" s="111" t="s">
        <v>23</v>
      </c>
      <c r="C106" s="112"/>
      <c r="D106" s="28">
        <f t="shared" ref="D106:D108" si="120">SUM(E106:R106)</f>
        <v>0</v>
      </c>
      <c r="E106" s="29">
        <v>0</v>
      </c>
      <c r="F106" s="29">
        <v>0</v>
      </c>
      <c r="G106" s="29">
        <v>0</v>
      </c>
      <c r="H106" s="38">
        <v>0</v>
      </c>
      <c r="I106" s="38">
        <v>0</v>
      </c>
      <c r="J106" s="29">
        <v>0</v>
      </c>
      <c r="K106" s="29">
        <v>0</v>
      </c>
      <c r="L106" s="29">
        <v>0</v>
      </c>
      <c r="M106" s="30">
        <v>0</v>
      </c>
      <c r="N106" s="91">
        <v>0</v>
      </c>
      <c r="O106" s="29">
        <v>0</v>
      </c>
      <c r="P106" s="29">
        <v>0</v>
      </c>
      <c r="Q106" s="29">
        <v>0</v>
      </c>
      <c r="R106" s="29">
        <v>0</v>
      </c>
      <c r="S106" s="23" t="s">
        <v>20</v>
      </c>
    </row>
    <row r="107" spans="1:19" s="22" customFormat="1" ht="16.5" x14ac:dyDescent="0.25">
      <c r="A107" s="23">
        <f t="shared" si="119"/>
        <v>79</v>
      </c>
      <c r="B107" s="111" t="s">
        <v>24</v>
      </c>
      <c r="C107" s="112"/>
      <c r="D107" s="28">
        <f t="shared" si="120"/>
        <v>2000000</v>
      </c>
      <c r="E107" s="29">
        <v>0</v>
      </c>
      <c r="F107" s="29">
        <v>0</v>
      </c>
      <c r="G107" s="29">
        <v>0</v>
      </c>
      <c r="H107" s="38">
        <v>0</v>
      </c>
      <c r="I107" s="38">
        <v>0</v>
      </c>
      <c r="J107" s="29">
        <v>0</v>
      </c>
      <c r="K107" s="29">
        <v>0</v>
      </c>
      <c r="L107" s="29">
        <v>0</v>
      </c>
      <c r="M107" s="30">
        <v>0</v>
      </c>
      <c r="N107" s="91">
        <v>0</v>
      </c>
      <c r="O107" s="29">
        <v>2000000</v>
      </c>
      <c r="P107" s="29">
        <v>0</v>
      </c>
      <c r="Q107" s="29">
        <v>0</v>
      </c>
      <c r="R107" s="29">
        <v>0</v>
      </c>
      <c r="S107" s="23" t="s">
        <v>20</v>
      </c>
    </row>
    <row r="108" spans="1:19" s="22" customFormat="1" ht="16.5" x14ac:dyDescent="0.25">
      <c r="A108" s="23">
        <f t="shared" si="119"/>
        <v>80</v>
      </c>
      <c r="B108" s="111" t="s">
        <v>25</v>
      </c>
      <c r="C108" s="112"/>
      <c r="D108" s="28">
        <f t="shared" si="120"/>
        <v>0</v>
      </c>
      <c r="E108" s="29">
        <v>0</v>
      </c>
      <c r="F108" s="29">
        <v>0</v>
      </c>
      <c r="G108" s="29">
        <v>0</v>
      </c>
      <c r="H108" s="38">
        <v>0</v>
      </c>
      <c r="I108" s="38">
        <v>0</v>
      </c>
      <c r="J108" s="29">
        <v>0</v>
      </c>
      <c r="K108" s="29">
        <v>0</v>
      </c>
      <c r="L108" s="29">
        <v>0</v>
      </c>
      <c r="M108" s="30">
        <v>0</v>
      </c>
      <c r="N108" s="91">
        <v>0</v>
      </c>
      <c r="O108" s="29">
        <v>0</v>
      </c>
      <c r="P108" s="29">
        <v>0</v>
      </c>
      <c r="Q108" s="29">
        <v>0</v>
      </c>
      <c r="R108" s="29">
        <v>0</v>
      </c>
      <c r="S108" s="23" t="s">
        <v>20</v>
      </c>
    </row>
    <row r="109" spans="1:19" s="22" customFormat="1" ht="20.25" customHeight="1" x14ac:dyDescent="0.25">
      <c r="A109" s="122">
        <f>A108+1</f>
        <v>81</v>
      </c>
      <c r="B109" s="40" t="s">
        <v>48</v>
      </c>
      <c r="C109" s="51"/>
      <c r="D109" s="104">
        <f>SUM(E109:R110)</f>
        <v>72458652.430000007</v>
      </c>
      <c r="E109" s="104">
        <f t="shared" ref="E109:O109" si="121">SUM(E111:E114)</f>
        <v>0</v>
      </c>
      <c r="F109" s="104">
        <f t="shared" si="121"/>
        <v>0</v>
      </c>
      <c r="G109" s="104">
        <f t="shared" si="121"/>
        <v>0</v>
      </c>
      <c r="H109" s="104">
        <f t="shared" si="121"/>
        <v>629704</v>
      </c>
      <c r="I109" s="104">
        <f t="shared" si="121"/>
        <v>15422300</v>
      </c>
      <c r="J109" s="104">
        <f t="shared" si="121"/>
        <v>24288651.84</v>
      </c>
      <c r="K109" s="104">
        <f t="shared" si="121"/>
        <v>8721339.1900000013</v>
      </c>
      <c r="L109" s="104">
        <f t="shared" si="121"/>
        <v>23396657.400000002</v>
      </c>
      <c r="M109" s="115">
        <f t="shared" si="121"/>
        <v>0</v>
      </c>
      <c r="N109" s="109">
        <f t="shared" si="121"/>
        <v>0</v>
      </c>
      <c r="O109" s="104">
        <f t="shared" si="121"/>
        <v>0</v>
      </c>
      <c r="P109" s="104">
        <f t="shared" ref="P109:R109" si="122">SUM(P111:P114)</f>
        <v>0</v>
      </c>
      <c r="Q109" s="104">
        <f t="shared" si="122"/>
        <v>0</v>
      </c>
      <c r="R109" s="104">
        <f t="shared" si="122"/>
        <v>0</v>
      </c>
      <c r="S109" s="102" t="s">
        <v>106</v>
      </c>
    </row>
    <row r="110" spans="1:19" s="22" customFormat="1" ht="47.25" customHeight="1" x14ac:dyDescent="0.25">
      <c r="A110" s="159"/>
      <c r="B110" s="41" t="s">
        <v>49</v>
      </c>
      <c r="C110" s="51"/>
      <c r="D110" s="106"/>
      <c r="E110" s="106"/>
      <c r="F110" s="106"/>
      <c r="G110" s="106"/>
      <c r="H110" s="106"/>
      <c r="I110" s="106"/>
      <c r="J110" s="106"/>
      <c r="K110" s="106"/>
      <c r="L110" s="106"/>
      <c r="M110" s="116"/>
      <c r="N110" s="110"/>
      <c r="O110" s="106"/>
      <c r="P110" s="106"/>
      <c r="Q110" s="106"/>
      <c r="R110" s="106"/>
      <c r="S110" s="103"/>
    </row>
    <row r="111" spans="1:19" s="22" customFormat="1" ht="16.5" x14ac:dyDescent="0.25">
      <c r="A111" s="23">
        <f>A109+1</f>
        <v>82</v>
      </c>
      <c r="B111" s="113" t="s">
        <v>41</v>
      </c>
      <c r="C111" s="114"/>
      <c r="D111" s="28">
        <f>SUM(E111:R111)</f>
        <v>0</v>
      </c>
      <c r="E111" s="29">
        <v>0</v>
      </c>
      <c r="F111" s="29">
        <v>0</v>
      </c>
      <c r="G111" s="29">
        <v>0</v>
      </c>
      <c r="H111" s="38">
        <v>0</v>
      </c>
      <c r="I111" s="38">
        <v>0</v>
      </c>
      <c r="J111" s="29">
        <v>0</v>
      </c>
      <c r="K111" s="29">
        <v>0</v>
      </c>
      <c r="L111" s="29">
        <v>0</v>
      </c>
      <c r="M111" s="30">
        <v>0</v>
      </c>
      <c r="N111" s="91">
        <v>0</v>
      </c>
      <c r="O111" s="29">
        <v>0</v>
      </c>
      <c r="P111" s="29">
        <v>0</v>
      </c>
      <c r="Q111" s="29">
        <v>0</v>
      </c>
      <c r="R111" s="29">
        <v>0</v>
      </c>
      <c r="S111" s="23" t="s">
        <v>20</v>
      </c>
    </row>
    <row r="112" spans="1:19" s="22" customFormat="1" ht="16.5" x14ac:dyDescent="0.25">
      <c r="A112" s="23">
        <f t="shared" ref="A112:A118" si="123">A111+1</f>
        <v>83</v>
      </c>
      <c r="B112" s="111" t="s">
        <v>23</v>
      </c>
      <c r="C112" s="112"/>
      <c r="D112" s="28">
        <f t="shared" ref="D112:D114" si="124">SUM(E112:R112)</f>
        <v>60621282.719999999</v>
      </c>
      <c r="E112" s="29">
        <v>0</v>
      </c>
      <c r="F112" s="29">
        <v>0</v>
      </c>
      <c r="G112" s="29">
        <v>0</v>
      </c>
      <c r="H112" s="38">
        <v>0</v>
      </c>
      <c r="I112" s="38">
        <v>12350000</v>
      </c>
      <c r="J112" s="29">
        <f>11250000+5765900+10061551.84+288400-5000000</f>
        <v>22365851.84</v>
      </c>
      <c r="K112" s="29">
        <v>4587865.4400000004</v>
      </c>
      <c r="L112" s="29">
        <f>18175800+3141765.44</f>
        <v>21317565.440000001</v>
      </c>
      <c r="M112" s="30">
        <v>0</v>
      </c>
      <c r="N112" s="91">
        <v>0</v>
      </c>
      <c r="O112" s="29">
        <v>0</v>
      </c>
      <c r="P112" s="29">
        <v>0</v>
      </c>
      <c r="Q112" s="29">
        <v>0</v>
      </c>
      <c r="R112" s="29">
        <v>0</v>
      </c>
      <c r="S112" s="23" t="s">
        <v>20</v>
      </c>
    </row>
    <row r="113" spans="1:31" s="22" customFormat="1" ht="16.5" x14ac:dyDescent="0.25">
      <c r="A113" s="23">
        <f t="shared" si="123"/>
        <v>84</v>
      </c>
      <c r="B113" s="111" t="s">
        <v>24</v>
      </c>
      <c r="C113" s="112"/>
      <c r="D113" s="28">
        <f t="shared" si="124"/>
        <v>11837369.710000001</v>
      </c>
      <c r="E113" s="29">
        <v>0</v>
      </c>
      <c r="F113" s="29">
        <v>0</v>
      </c>
      <c r="G113" s="29">
        <v>0</v>
      </c>
      <c r="H113" s="38">
        <f>1900000-121786-48428-233579-866503</f>
        <v>629704</v>
      </c>
      <c r="I113" s="38">
        <v>3072300</v>
      </c>
      <c r="J113" s="29">
        <f>1250000+640700+32100</f>
        <v>1922800</v>
      </c>
      <c r="K113" s="29">
        <f>500000+1682416.38+7251057.37-300000-4544176-455824</f>
        <v>4133473.75</v>
      </c>
      <c r="L113" s="29">
        <f>2632361-100000-2532361+2019500+59591.96</f>
        <v>2079091.96</v>
      </c>
      <c r="M113" s="30">
        <v>0</v>
      </c>
      <c r="N113" s="91">
        <v>0</v>
      </c>
      <c r="O113" s="29">
        <v>0</v>
      </c>
      <c r="P113" s="29">
        <v>0</v>
      </c>
      <c r="Q113" s="29">
        <v>0</v>
      </c>
      <c r="R113" s="29">
        <v>0</v>
      </c>
      <c r="S113" s="23" t="s">
        <v>20</v>
      </c>
    </row>
    <row r="114" spans="1:31" s="22" customFormat="1" ht="16.5" x14ac:dyDescent="0.25">
      <c r="A114" s="23">
        <f t="shared" si="123"/>
        <v>85</v>
      </c>
      <c r="B114" s="111" t="s">
        <v>25</v>
      </c>
      <c r="C114" s="112"/>
      <c r="D114" s="28">
        <f t="shared" si="124"/>
        <v>0</v>
      </c>
      <c r="E114" s="29">
        <v>0</v>
      </c>
      <c r="F114" s="29">
        <v>0</v>
      </c>
      <c r="G114" s="29">
        <v>0</v>
      </c>
      <c r="H114" s="38">
        <v>0</v>
      </c>
      <c r="I114" s="38">
        <v>0</v>
      </c>
      <c r="J114" s="29">
        <v>0</v>
      </c>
      <c r="K114" s="29">
        <v>0</v>
      </c>
      <c r="L114" s="29">
        <v>0</v>
      </c>
      <c r="M114" s="30">
        <v>0</v>
      </c>
      <c r="N114" s="91">
        <v>0</v>
      </c>
      <c r="O114" s="29">
        <v>0</v>
      </c>
      <c r="P114" s="29">
        <v>0</v>
      </c>
      <c r="Q114" s="29">
        <v>0</v>
      </c>
      <c r="R114" s="29">
        <v>0</v>
      </c>
      <c r="S114" s="23" t="s">
        <v>20</v>
      </c>
    </row>
    <row r="115" spans="1:31" s="22" customFormat="1" ht="93" customHeight="1" x14ac:dyDescent="0.25">
      <c r="A115" s="23">
        <f t="shared" si="123"/>
        <v>86</v>
      </c>
      <c r="B115" s="48" t="s">
        <v>50</v>
      </c>
      <c r="C115" s="28"/>
      <c r="D115" s="28">
        <f>SUM(E115:R115)</f>
        <v>5577280</v>
      </c>
      <c r="E115" s="29">
        <f t="shared" ref="E115:P115" si="125">SUM(E116:E118)</f>
        <v>0</v>
      </c>
      <c r="F115" s="29">
        <f t="shared" si="125"/>
        <v>0</v>
      </c>
      <c r="G115" s="29">
        <f t="shared" si="125"/>
        <v>0</v>
      </c>
      <c r="H115" s="29">
        <f t="shared" si="125"/>
        <v>0</v>
      </c>
      <c r="I115" s="29">
        <f t="shared" si="125"/>
        <v>0</v>
      </c>
      <c r="J115" s="29">
        <f t="shared" si="125"/>
        <v>5577280</v>
      </c>
      <c r="K115" s="29">
        <f t="shared" si="125"/>
        <v>0</v>
      </c>
      <c r="L115" s="29">
        <f t="shared" si="125"/>
        <v>0</v>
      </c>
      <c r="M115" s="30">
        <f t="shared" si="125"/>
        <v>0</v>
      </c>
      <c r="N115" s="91">
        <f t="shared" si="125"/>
        <v>0</v>
      </c>
      <c r="O115" s="29">
        <f t="shared" si="125"/>
        <v>0</v>
      </c>
      <c r="P115" s="29">
        <f t="shared" si="125"/>
        <v>0</v>
      </c>
      <c r="Q115" s="29">
        <f t="shared" ref="Q115" si="126">SUM(Q116:Q118)</f>
        <v>0</v>
      </c>
      <c r="R115" s="29">
        <f t="shared" ref="R115" si="127">SUM(R116:R118)</f>
        <v>0</v>
      </c>
      <c r="S115" s="97" t="s">
        <v>107</v>
      </c>
    </row>
    <row r="116" spans="1:31" s="22" customFormat="1" ht="16.5" x14ac:dyDescent="0.25">
      <c r="A116" s="23">
        <f t="shared" si="123"/>
        <v>87</v>
      </c>
      <c r="B116" s="33" t="s">
        <v>51</v>
      </c>
      <c r="C116" s="28"/>
      <c r="D116" s="28">
        <f t="shared" ref="D116:D118" si="128">SUM(E116:R116)</f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30">
        <v>0</v>
      </c>
      <c r="N116" s="91">
        <v>0</v>
      </c>
      <c r="O116" s="29">
        <v>0</v>
      </c>
      <c r="P116" s="29">
        <v>0</v>
      </c>
      <c r="Q116" s="29">
        <v>0</v>
      </c>
      <c r="R116" s="29">
        <v>0</v>
      </c>
      <c r="S116" s="23" t="s">
        <v>27</v>
      </c>
    </row>
    <row r="117" spans="1:31" s="22" customFormat="1" ht="16.5" x14ac:dyDescent="0.25">
      <c r="A117" s="23">
        <f t="shared" si="123"/>
        <v>88</v>
      </c>
      <c r="B117" s="33" t="s">
        <v>23</v>
      </c>
      <c r="C117" s="28"/>
      <c r="D117" s="28">
        <f t="shared" si="128"/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30">
        <v>0</v>
      </c>
      <c r="N117" s="91">
        <v>0</v>
      </c>
      <c r="O117" s="29">
        <v>0</v>
      </c>
      <c r="P117" s="29">
        <v>0</v>
      </c>
      <c r="Q117" s="29">
        <v>0</v>
      </c>
      <c r="R117" s="29">
        <v>0</v>
      </c>
      <c r="S117" s="23" t="s">
        <v>27</v>
      </c>
    </row>
    <row r="118" spans="1:31" s="22" customFormat="1" ht="16.5" x14ac:dyDescent="0.25">
      <c r="A118" s="23">
        <f t="shared" si="123"/>
        <v>89</v>
      </c>
      <c r="B118" s="33" t="s">
        <v>24</v>
      </c>
      <c r="C118" s="28"/>
      <c r="D118" s="28">
        <f t="shared" si="128"/>
        <v>5577280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5577280</v>
      </c>
      <c r="K118" s="29">
        <v>0</v>
      </c>
      <c r="L118" s="29">
        <v>0</v>
      </c>
      <c r="M118" s="30">
        <v>0</v>
      </c>
      <c r="N118" s="91">
        <v>0</v>
      </c>
      <c r="O118" s="29">
        <v>0</v>
      </c>
      <c r="P118" s="29">
        <v>0</v>
      </c>
      <c r="Q118" s="29">
        <v>0</v>
      </c>
      <c r="R118" s="29">
        <v>0</v>
      </c>
      <c r="S118" s="23">
        <v>0</v>
      </c>
    </row>
    <row r="119" spans="1:31" s="22" customFormat="1" ht="16.5" x14ac:dyDescent="0.25">
      <c r="A119" s="165" t="s">
        <v>52</v>
      </c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7"/>
    </row>
    <row r="120" spans="1:31" s="22" customFormat="1" ht="72" customHeight="1" x14ac:dyDescent="0.25">
      <c r="A120" s="23">
        <f>A118+1</f>
        <v>90</v>
      </c>
      <c r="B120" s="34" t="s">
        <v>45</v>
      </c>
      <c r="C120" s="23"/>
      <c r="D120" s="28">
        <f>SUM(E120:R120)</f>
        <v>2552592.56</v>
      </c>
      <c r="E120" s="28">
        <f t="shared" ref="E120:O120" si="129">SUM(E121:E124)</f>
        <v>0</v>
      </c>
      <c r="F120" s="28">
        <f t="shared" si="129"/>
        <v>0</v>
      </c>
      <c r="G120" s="28">
        <f t="shared" si="129"/>
        <v>0</v>
      </c>
      <c r="H120" s="28">
        <f t="shared" si="129"/>
        <v>483765</v>
      </c>
      <c r="I120" s="28">
        <f t="shared" si="129"/>
        <v>377527.56000000006</v>
      </c>
      <c r="J120" s="28">
        <f t="shared" si="129"/>
        <v>500000</v>
      </c>
      <c r="K120" s="28">
        <f t="shared" si="129"/>
        <v>0</v>
      </c>
      <c r="L120" s="28">
        <f t="shared" si="129"/>
        <v>0</v>
      </c>
      <c r="M120" s="35">
        <f t="shared" si="129"/>
        <v>0</v>
      </c>
      <c r="N120" s="92">
        <f t="shared" si="129"/>
        <v>0</v>
      </c>
      <c r="O120" s="28">
        <f t="shared" si="129"/>
        <v>400000</v>
      </c>
      <c r="P120" s="28">
        <f t="shared" ref="P120" si="130">SUM(P121:P124)</f>
        <v>405600</v>
      </c>
      <c r="Q120" s="28">
        <f t="shared" ref="Q120" si="131">SUM(Q121:Q124)</f>
        <v>385700</v>
      </c>
      <c r="R120" s="28">
        <f t="shared" ref="R120" si="132">SUM(R121:R124)</f>
        <v>0</v>
      </c>
      <c r="S120" s="97" t="s">
        <v>109</v>
      </c>
    </row>
    <row r="121" spans="1:31" s="22" customFormat="1" ht="16.5" x14ac:dyDescent="0.25">
      <c r="A121" s="23">
        <f t="shared" ref="A121:A124" si="133">A120+1</f>
        <v>91</v>
      </c>
      <c r="B121" s="111" t="s">
        <v>41</v>
      </c>
      <c r="C121" s="112"/>
      <c r="D121" s="28">
        <f t="shared" ref="D121:D124" si="134">SUM(E121:R121)</f>
        <v>0</v>
      </c>
      <c r="E121" s="29">
        <f t="shared" ref="E121:O121" si="135">E127</f>
        <v>0</v>
      </c>
      <c r="F121" s="29">
        <f t="shared" si="135"/>
        <v>0</v>
      </c>
      <c r="G121" s="29">
        <f t="shared" si="135"/>
        <v>0</v>
      </c>
      <c r="H121" s="29">
        <f t="shared" si="135"/>
        <v>0</v>
      </c>
      <c r="I121" s="29">
        <f t="shared" si="135"/>
        <v>0</v>
      </c>
      <c r="J121" s="29">
        <f t="shared" si="135"/>
        <v>0</v>
      </c>
      <c r="K121" s="29">
        <f t="shared" si="135"/>
        <v>0</v>
      </c>
      <c r="L121" s="29">
        <f t="shared" si="135"/>
        <v>0</v>
      </c>
      <c r="M121" s="30">
        <f t="shared" si="135"/>
        <v>0</v>
      </c>
      <c r="N121" s="91">
        <f t="shared" si="135"/>
        <v>0</v>
      </c>
      <c r="O121" s="29">
        <f t="shared" si="135"/>
        <v>0</v>
      </c>
      <c r="P121" s="29">
        <f t="shared" ref="P121:R121" si="136">P127</f>
        <v>0</v>
      </c>
      <c r="Q121" s="29">
        <f t="shared" si="136"/>
        <v>0</v>
      </c>
      <c r="R121" s="29">
        <f t="shared" si="136"/>
        <v>0</v>
      </c>
      <c r="S121" s="23" t="s">
        <v>20</v>
      </c>
    </row>
    <row r="122" spans="1:31" s="49" customFormat="1" ht="16.5" x14ac:dyDescent="0.25">
      <c r="A122" s="23">
        <f t="shared" si="133"/>
        <v>92</v>
      </c>
      <c r="B122" s="111" t="s">
        <v>23</v>
      </c>
      <c r="C122" s="112"/>
      <c r="D122" s="28">
        <f t="shared" si="134"/>
        <v>254500</v>
      </c>
      <c r="E122" s="29">
        <f t="shared" ref="E122:O122" si="137">E128</f>
        <v>0</v>
      </c>
      <c r="F122" s="29">
        <f t="shared" si="137"/>
        <v>0</v>
      </c>
      <c r="G122" s="29">
        <f t="shared" si="137"/>
        <v>0</v>
      </c>
      <c r="H122" s="29">
        <f t="shared" si="137"/>
        <v>128400</v>
      </c>
      <c r="I122" s="29">
        <f t="shared" si="137"/>
        <v>126100</v>
      </c>
      <c r="J122" s="29">
        <f t="shared" si="137"/>
        <v>0</v>
      </c>
      <c r="K122" s="29">
        <f t="shared" si="137"/>
        <v>0</v>
      </c>
      <c r="L122" s="29">
        <f t="shared" si="137"/>
        <v>0</v>
      </c>
      <c r="M122" s="30">
        <f t="shared" si="137"/>
        <v>0</v>
      </c>
      <c r="N122" s="91">
        <f t="shared" si="137"/>
        <v>0</v>
      </c>
      <c r="O122" s="29">
        <f t="shared" si="137"/>
        <v>0</v>
      </c>
      <c r="P122" s="29">
        <f t="shared" ref="P122:R122" si="138">P128</f>
        <v>0</v>
      </c>
      <c r="Q122" s="29">
        <f t="shared" si="138"/>
        <v>0</v>
      </c>
      <c r="R122" s="29">
        <f t="shared" si="138"/>
        <v>0</v>
      </c>
      <c r="S122" s="23" t="s">
        <v>20</v>
      </c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s="22" customFormat="1" ht="16.5" x14ac:dyDescent="0.25">
      <c r="A123" s="23">
        <f t="shared" si="133"/>
        <v>93</v>
      </c>
      <c r="B123" s="111" t="s">
        <v>24</v>
      </c>
      <c r="C123" s="112"/>
      <c r="D123" s="28">
        <f t="shared" si="134"/>
        <v>2298092.56</v>
      </c>
      <c r="E123" s="29">
        <f t="shared" ref="E123:O123" si="139">E129</f>
        <v>0</v>
      </c>
      <c r="F123" s="29">
        <f t="shared" si="139"/>
        <v>0</v>
      </c>
      <c r="G123" s="29">
        <f t="shared" si="139"/>
        <v>0</v>
      </c>
      <c r="H123" s="29">
        <f t="shared" si="139"/>
        <v>355365</v>
      </c>
      <c r="I123" s="29">
        <f t="shared" si="139"/>
        <v>251427.56000000003</v>
      </c>
      <c r="J123" s="29">
        <f t="shared" si="139"/>
        <v>500000</v>
      </c>
      <c r="K123" s="29">
        <f t="shared" si="139"/>
        <v>0</v>
      </c>
      <c r="L123" s="29">
        <f t="shared" si="139"/>
        <v>0</v>
      </c>
      <c r="M123" s="30">
        <f t="shared" si="139"/>
        <v>0</v>
      </c>
      <c r="N123" s="91">
        <f t="shared" si="139"/>
        <v>0</v>
      </c>
      <c r="O123" s="29">
        <f t="shared" si="139"/>
        <v>400000</v>
      </c>
      <c r="P123" s="29">
        <f t="shared" ref="P123:R123" si="140">P129</f>
        <v>405600</v>
      </c>
      <c r="Q123" s="29">
        <f t="shared" si="140"/>
        <v>385700</v>
      </c>
      <c r="R123" s="29">
        <f t="shared" si="140"/>
        <v>0</v>
      </c>
      <c r="S123" s="23" t="s">
        <v>20</v>
      </c>
    </row>
    <row r="124" spans="1:31" s="22" customFormat="1" ht="16.5" x14ac:dyDescent="0.25">
      <c r="A124" s="23">
        <f t="shared" si="133"/>
        <v>94</v>
      </c>
      <c r="B124" s="111" t="s">
        <v>25</v>
      </c>
      <c r="C124" s="112"/>
      <c r="D124" s="28">
        <f t="shared" si="134"/>
        <v>0</v>
      </c>
      <c r="E124" s="29">
        <f t="shared" ref="E124:O124" si="141">E130</f>
        <v>0</v>
      </c>
      <c r="F124" s="29">
        <f t="shared" si="141"/>
        <v>0</v>
      </c>
      <c r="G124" s="29">
        <f t="shared" si="141"/>
        <v>0</v>
      </c>
      <c r="H124" s="29">
        <f t="shared" si="141"/>
        <v>0</v>
      </c>
      <c r="I124" s="29">
        <f t="shared" si="141"/>
        <v>0</v>
      </c>
      <c r="J124" s="29">
        <f t="shared" si="141"/>
        <v>0</v>
      </c>
      <c r="K124" s="29">
        <f t="shared" si="141"/>
        <v>0</v>
      </c>
      <c r="L124" s="29">
        <f t="shared" si="141"/>
        <v>0</v>
      </c>
      <c r="M124" s="30">
        <f t="shared" si="141"/>
        <v>0</v>
      </c>
      <c r="N124" s="91">
        <f t="shared" si="141"/>
        <v>0</v>
      </c>
      <c r="O124" s="29">
        <f t="shared" si="141"/>
        <v>0</v>
      </c>
      <c r="P124" s="29">
        <f t="shared" ref="P124:R124" si="142">P130</f>
        <v>0</v>
      </c>
      <c r="Q124" s="29">
        <f t="shared" si="142"/>
        <v>0</v>
      </c>
      <c r="R124" s="29">
        <f t="shared" si="142"/>
        <v>0</v>
      </c>
      <c r="S124" s="23" t="s">
        <v>20</v>
      </c>
    </row>
    <row r="125" spans="1:31" s="22" customFormat="1" ht="15" customHeight="1" x14ac:dyDescent="0.25">
      <c r="A125" s="168">
        <f>A124+1</f>
        <v>95</v>
      </c>
      <c r="B125" s="40" t="s">
        <v>53</v>
      </c>
      <c r="C125" s="51"/>
      <c r="D125" s="104">
        <f>SUM(E125:R126)</f>
        <v>2552592.56</v>
      </c>
      <c r="E125" s="104">
        <f t="shared" ref="E125:O125" si="143">SUM(E127:E130)</f>
        <v>0</v>
      </c>
      <c r="F125" s="104">
        <f t="shared" si="143"/>
        <v>0</v>
      </c>
      <c r="G125" s="104">
        <f t="shared" si="143"/>
        <v>0</v>
      </c>
      <c r="H125" s="104">
        <f t="shared" si="143"/>
        <v>483765</v>
      </c>
      <c r="I125" s="104">
        <f t="shared" si="143"/>
        <v>377527.56000000006</v>
      </c>
      <c r="J125" s="104">
        <f t="shared" si="143"/>
        <v>500000</v>
      </c>
      <c r="K125" s="104">
        <f t="shared" si="143"/>
        <v>0</v>
      </c>
      <c r="L125" s="104">
        <f t="shared" si="143"/>
        <v>0</v>
      </c>
      <c r="M125" s="115">
        <f t="shared" si="143"/>
        <v>0</v>
      </c>
      <c r="N125" s="109">
        <f t="shared" si="143"/>
        <v>0</v>
      </c>
      <c r="O125" s="107">
        <f t="shared" si="143"/>
        <v>400000</v>
      </c>
      <c r="P125" s="107">
        <f t="shared" ref="P125:R125" si="144">SUM(P127:P130)</f>
        <v>405600</v>
      </c>
      <c r="Q125" s="107">
        <f t="shared" si="144"/>
        <v>385700</v>
      </c>
      <c r="R125" s="107">
        <f t="shared" si="144"/>
        <v>0</v>
      </c>
      <c r="S125" s="102" t="s">
        <v>108</v>
      </c>
    </row>
    <row r="126" spans="1:31" s="78" customFormat="1" ht="66.75" customHeight="1" x14ac:dyDescent="0.25">
      <c r="A126" s="169"/>
      <c r="B126" s="86" t="s">
        <v>54</v>
      </c>
      <c r="C126" s="87"/>
      <c r="D126" s="106"/>
      <c r="E126" s="106"/>
      <c r="F126" s="106"/>
      <c r="G126" s="106"/>
      <c r="H126" s="106"/>
      <c r="I126" s="106"/>
      <c r="J126" s="106"/>
      <c r="K126" s="106"/>
      <c r="L126" s="106"/>
      <c r="M126" s="116"/>
      <c r="N126" s="110"/>
      <c r="O126" s="108"/>
      <c r="P126" s="108"/>
      <c r="Q126" s="108"/>
      <c r="R126" s="108"/>
      <c r="S126" s="103"/>
    </row>
    <row r="127" spans="1:31" s="22" customFormat="1" ht="16.5" x14ac:dyDescent="0.25">
      <c r="A127" s="23">
        <f>SUM(A125+1)</f>
        <v>96</v>
      </c>
      <c r="B127" s="113" t="s">
        <v>41</v>
      </c>
      <c r="C127" s="114"/>
      <c r="D127" s="28">
        <f>SUM(E127:R127)</f>
        <v>0</v>
      </c>
      <c r="E127" s="29">
        <v>0</v>
      </c>
      <c r="F127" s="29">
        <v>0</v>
      </c>
      <c r="G127" s="29">
        <v>0</v>
      </c>
      <c r="H127" s="38">
        <v>0</v>
      </c>
      <c r="I127" s="38">
        <v>0</v>
      </c>
      <c r="J127" s="29">
        <v>0</v>
      </c>
      <c r="K127" s="29">
        <v>0</v>
      </c>
      <c r="L127" s="29">
        <v>0</v>
      </c>
      <c r="M127" s="30">
        <v>0</v>
      </c>
      <c r="N127" s="91">
        <v>0</v>
      </c>
      <c r="O127" s="29">
        <v>0</v>
      </c>
      <c r="P127" s="29">
        <v>0</v>
      </c>
      <c r="Q127" s="29">
        <v>0</v>
      </c>
      <c r="R127" s="29">
        <v>0</v>
      </c>
      <c r="S127" s="23" t="s">
        <v>20</v>
      </c>
    </row>
    <row r="128" spans="1:31" s="46" customFormat="1" ht="16.5" x14ac:dyDescent="0.25">
      <c r="A128" s="23">
        <f t="shared" ref="A128:A136" si="145">SUM(A127+1)</f>
        <v>97</v>
      </c>
      <c r="B128" s="111" t="s">
        <v>23</v>
      </c>
      <c r="C128" s="112"/>
      <c r="D128" s="28">
        <f t="shared" ref="D128:D130" si="146">SUM(E128:R128)</f>
        <v>254500</v>
      </c>
      <c r="E128" s="29">
        <v>0</v>
      </c>
      <c r="F128" s="29">
        <v>0</v>
      </c>
      <c r="G128" s="29">
        <v>0</v>
      </c>
      <c r="H128" s="38">
        <v>128400</v>
      </c>
      <c r="I128" s="38">
        <v>126100</v>
      </c>
      <c r="J128" s="29">
        <v>0</v>
      </c>
      <c r="K128" s="29">
        <v>0</v>
      </c>
      <c r="L128" s="29">
        <v>0</v>
      </c>
      <c r="M128" s="30">
        <v>0</v>
      </c>
      <c r="N128" s="91">
        <v>0</v>
      </c>
      <c r="O128" s="29">
        <v>0</v>
      </c>
      <c r="P128" s="29">
        <v>0</v>
      </c>
      <c r="Q128" s="29">
        <v>0</v>
      </c>
      <c r="R128" s="29">
        <v>0</v>
      </c>
      <c r="S128" s="23" t="s">
        <v>20</v>
      </c>
    </row>
    <row r="129" spans="1:19" s="22" customFormat="1" ht="16.5" x14ac:dyDescent="0.25">
      <c r="A129" s="23">
        <f t="shared" si="145"/>
        <v>98</v>
      </c>
      <c r="B129" s="111" t="s">
        <v>24</v>
      </c>
      <c r="C129" s="112"/>
      <c r="D129" s="28">
        <f t="shared" si="146"/>
        <v>2298092.56</v>
      </c>
      <c r="E129" s="29">
        <v>0</v>
      </c>
      <c r="F129" s="29">
        <v>0</v>
      </c>
      <c r="G129" s="29">
        <v>0</v>
      </c>
      <c r="H129" s="38">
        <v>355365</v>
      </c>
      <c r="I129" s="38">
        <f>376900+5413.21-130885.65</f>
        <v>251427.56000000003</v>
      </c>
      <c r="J129" s="29">
        <v>500000</v>
      </c>
      <c r="K129" s="29">
        <v>0</v>
      </c>
      <c r="L129" s="29">
        <v>0</v>
      </c>
      <c r="M129" s="30">
        <v>0</v>
      </c>
      <c r="N129" s="91">
        <v>0</v>
      </c>
      <c r="O129" s="29">
        <f>200000+200000</f>
        <v>400000</v>
      </c>
      <c r="P129" s="29">
        <f>202800*2</f>
        <v>405600</v>
      </c>
      <c r="Q129" s="29">
        <f>192850*2</f>
        <v>385700</v>
      </c>
      <c r="R129" s="29">
        <v>0</v>
      </c>
      <c r="S129" s="23" t="s">
        <v>20</v>
      </c>
    </row>
    <row r="130" spans="1:19" s="22" customFormat="1" ht="16.5" x14ac:dyDescent="0.25">
      <c r="A130" s="23">
        <f t="shared" si="145"/>
        <v>99</v>
      </c>
      <c r="B130" s="111" t="s">
        <v>25</v>
      </c>
      <c r="C130" s="112"/>
      <c r="D130" s="28">
        <f t="shared" si="146"/>
        <v>0</v>
      </c>
      <c r="E130" s="29">
        <v>0</v>
      </c>
      <c r="F130" s="29">
        <v>0</v>
      </c>
      <c r="G130" s="29">
        <v>0</v>
      </c>
      <c r="H130" s="38">
        <v>0</v>
      </c>
      <c r="I130" s="38">
        <v>0</v>
      </c>
      <c r="J130" s="29">
        <v>0</v>
      </c>
      <c r="K130" s="29">
        <v>0</v>
      </c>
      <c r="L130" s="29">
        <v>0</v>
      </c>
      <c r="M130" s="30">
        <v>0</v>
      </c>
      <c r="N130" s="91">
        <v>0</v>
      </c>
      <c r="O130" s="29">
        <v>0</v>
      </c>
      <c r="P130" s="29">
        <v>0</v>
      </c>
      <c r="Q130" s="29">
        <v>0</v>
      </c>
      <c r="R130" s="29">
        <v>0</v>
      </c>
      <c r="S130" s="23" t="s">
        <v>20</v>
      </c>
    </row>
    <row r="131" spans="1:19" s="22" customFormat="1" ht="17.25" customHeight="1" x14ac:dyDescent="0.25">
      <c r="A131" s="168">
        <f t="shared" si="145"/>
        <v>100</v>
      </c>
      <c r="B131" s="40" t="s">
        <v>55</v>
      </c>
      <c r="C131" s="51"/>
      <c r="D131" s="104">
        <f>SUM(E131:R132)</f>
        <v>2992203</v>
      </c>
      <c r="E131" s="104">
        <f t="shared" ref="E131:O131" si="147">SUM(E133:E136)</f>
        <v>0</v>
      </c>
      <c r="F131" s="104">
        <f t="shared" si="147"/>
        <v>0</v>
      </c>
      <c r="G131" s="104">
        <f t="shared" si="147"/>
        <v>0</v>
      </c>
      <c r="H131" s="104">
        <f t="shared" si="147"/>
        <v>0</v>
      </c>
      <c r="I131" s="104">
        <f t="shared" si="147"/>
        <v>0</v>
      </c>
      <c r="J131" s="104">
        <f t="shared" si="147"/>
        <v>0</v>
      </c>
      <c r="K131" s="104">
        <f t="shared" si="147"/>
        <v>0</v>
      </c>
      <c r="L131" s="104">
        <f t="shared" si="147"/>
        <v>2992203</v>
      </c>
      <c r="M131" s="115">
        <f t="shared" si="147"/>
        <v>0</v>
      </c>
      <c r="N131" s="109">
        <f t="shared" si="147"/>
        <v>0</v>
      </c>
      <c r="O131" s="107">
        <f t="shared" si="147"/>
        <v>0</v>
      </c>
      <c r="P131" s="107">
        <f t="shared" ref="P131:R131" si="148">SUM(P133:P136)</f>
        <v>0</v>
      </c>
      <c r="Q131" s="107">
        <f t="shared" si="148"/>
        <v>0</v>
      </c>
      <c r="R131" s="107">
        <f t="shared" si="148"/>
        <v>0</v>
      </c>
      <c r="S131" s="102" t="s">
        <v>110</v>
      </c>
    </row>
    <row r="132" spans="1:19" s="22" customFormat="1" ht="115.5" customHeight="1" x14ac:dyDescent="0.25">
      <c r="A132" s="169"/>
      <c r="B132" s="41" t="s">
        <v>56</v>
      </c>
      <c r="C132" s="51"/>
      <c r="D132" s="106"/>
      <c r="E132" s="106"/>
      <c r="F132" s="106"/>
      <c r="G132" s="106"/>
      <c r="H132" s="106"/>
      <c r="I132" s="106"/>
      <c r="J132" s="106"/>
      <c r="K132" s="106"/>
      <c r="L132" s="106"/>
      <c r="M132" s="116"/>
      <c r="N132" s="110"/>
      <c r="O132" s="108"/>
      <c r="P132" s="108"/>
      <c r="Q132" s="108"/>
      <c r="R132" s="108"/>
      <c r="S132" s="103"/>
    </row>
    <row r="133" spans="1:19" s="22" customFormat="1" ht="16.5" x14ac:dyDescent="0.25">
      <c r="A133" s="23">
        <f>A131+1</f>
        <v>101</v>
      </c>
      <c r="B133" s="113" t="s">
        <v>41</v>
      </c>
      <c r="C133" s="114"/>
      <c r="D133" s="28">
        <f>SUM(E133:R133)</f>
        <v>0</v>
      </c>
      <c r="E133" s="29">
        <v>0</v>
      </c>
      <c r="F133" s="29">
        <v>0</v>
      </c>
      <c r="G133" s="29">
        <v>0</v>
      </c>
      <c r="H133" s="38">
        <v>0</v>
      </c>
      <c r="I133" s="38">
        <v>0</v>
      </c>
      <c r="J133" s="29">
        <v>0</v>
      </c>
      <c r="K133" s="29">
        <v>0</v>
      </c>
      <c r="L133" s="29">
        <v>0</v>
      </c>
      <c r="M133" s="30">
        <v>0</v>
      </c>
      <c r="N133" s="91">
        <v>0</v>
      </c>
      <c r="O133" s="29">
        <v>0</v>
      </c>
      <c r="P133" s="29">
        <v>0</v>
      </c>
      <c r="Q133" s="29">
        <v>0</v>
      </c>
      <c r="R133" s="29">
        <v>0</v>
      </c>
      <c r="S133" s="23" t="s">
        <v>20</v>
      </c>
    </row>
    <row r="134" spans="1:19" s="46" customFormat="1" ht="16.5" x14ac:dyDescent="0.25">
      <c r="A134" s="23">
        <f t="shared" si="145"/>
        <v>102</v>
      </c>
      <c r="B134" s="111" t="s">
        <v>23</v>
      </c>
      <c r="C134" s="112"/>
      <c r="D134" s="28">
        <f t="shared" ref="D134:D136" si="149">SUM(E134:R134)</f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30">
        <v>0</v>
      </c>
      <c r="N134" s="91">
        <v>0</v>
      </c>
      <c r="O134" s="29">
        <v>0</v>
      </c>
      <c r="P134" s="29">
        <v>0</v>
      </c>
      <c r="Q134" s="29">
        <v>0</v>
      </c>
      <c r="R134" s="29">
        <v>0</v>
      </c>
      <c r="S134" s="23" t="s">
        <v>20</v>
      </c>
    </row>
    <row r="135" spans="1:19" s="22" customFormat="1" ht="16.5" x14ac:dyDescent="0.25">
      <c r="A135" s="23">
        <f t="shared" si="145"/>
        <v>103</v>
      </c>
      <c r="B135" s="111" t="s">
        <v>24</v>
      </c>
      <c r="C135" s="112"/>
      <c r="D135" s="28">
        <f t="shared" si="149"/>
        <v>2992203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f>3319861-118066.04-59591.96-150000</f>
        <v>2992203</v>
      </c>
      <c r="M135" s="30">
        <v>0</v>
      </c>
      <c r="N135" s="91">
        <v>0</v>
      </c>
      <c r="O135" s="29">
        <v>0</v>
      </c>
      <c r="P135" s="29">
        <v>0</v>
      </c>
      <c r="Q135" s="29">
        <v>0</v>
      </c>
      <c r="R135" s="29">
        <v>0</v>
      </c>
      <c r="S135" s="23" t="s">
        <v>20</v>
      </c>
    </row>
    <row r="136" spans="1:19" s="22" customFormat="1" ht="16.5" x14ac:dyDescent="0.25">
      <c r="A136" s="23">
        <f t="shared" si="145"/>
        <v>104</v>
      </c>
      <c r="B136" s="111" t="s">
        <v>25</v>
      </c>
      <c r="C136" s="112"/>
      <c r="D136" s="28">
        <f t="shared" si="149"/>
        <v>0</v>
      </c>
      <c r="E136" s="29">
        <v>0</v>
      </c>
      <c r="F136" s="29">
        <v>0</v>
      </c>
      <c r="G136" s="29">
        <v>0</v>
      </c>
      <c r="H136" s="38">
        <v>0</v>
      </c>
      <c r="I136" s="38">
        <v>0</v>
      </c>
      <c r="J136" s="29">
        <v>0</v>
      </c>
      <c r="K136" s="29">
        <v>0</v>
      </c>
      <c r="L136" s="29">
        <v>0</v>
      </c>
      <c r="M136" s="30">
        <v>0</v>
      </c>
      <c r="N136" s="91">
        <v>0</v>
      </c>
      <c r="O136" s="29">
        <v>0</v>
      </c>
      <c r="P136" s="29">
        <v>0</v>
      </c>
      <c r="Q136" s="29">
        <v>0</v>
      </c>
      <c r="R136" s="29">
        <v>0</v>
      </c>
      <c r="S136" s="23" t="s">
        <v>20</v>
      </c>
    </row>
    <row r="137" spans="1:19" s="22" customFormat="1" ht="16.5" x14ac:dyDescent="0.25">
      <c r="A137" s="119" t="s">
        <v>57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1"/>
    </row>
    <row r="138" spans="1:19" s="22" customFormat="1" ht="66" customHeight="1" x14ac:dyDescent="0.25">
      <c r="A138" s="23">
        <f>SUM(A136+1)</f>
        <v>105</v>
      </c>
      <c r="B138" s="119" t="s">
        <v>58</v>
      </c>
      <c r="C138" s="121"/>
      <c r="D138" s="28">
        <f>SUM(E138:R138)</f>
        <v>185224553.62</v>
      </c>
      <c r="E138" s="28">
        <f t="shared" ref="E138:R138" si="150">SUM(E139:E142)</f>
        <v>7193590</v>
      </c>
      <c r="F138" s="28">
        <f t="shared" si="150"/>
        <v>6344082.0200000005</v>
      </c>
      <c r="G138" s="28">
        <f t="shared" si="150"/>
        <v>6909477</v>
      </c>
      <c r="H138" s="37">
        <f t="shared" si="150"/>
        <v>7169265</v>
      </c>
      <c r="I138" s="37">
        <f t="shared" si="150"/>
        <v>11533724.870000001</v>
      </c>
      <c r="J138" s="28">
        <f t="shared" si="150"/>
        <v>8948851</v>
      </c>
      <c r="K138" s="28">
        <f t="shared" si="150"/>
        <v>11806862.690000001</v>
      </c>
      <c r="L138" s="28">
        <f t="shared" si="150"/>
        <v>14437383.039999999</v>
      </c>
      <c r="M138" s="35">
        <f t="shared" si="150"/>
        <v>18202143</v>
      </c>
      <c r="N138" s="92">
        <f t="shared" si="150"/>
        <v>21810427</v>
      </c>
      <c r="O138" s="28">
        <f t="shared" si="150"/>
        <v>23961491</v>
      </c>
      <c r="P138" s="28">
        <f t="shared" si="150"/>
        <v>24043452</v>
      </c>
      <c r="Q138" s="28">
        <f t="shared" si="150"/>
        <v>22863805</v>
      </c>
      <c r="R138" s="28">
        <f t="shared" si="150"/>
        <v>0</v>
      </c>
      <c r="S138" s="23" t="s">
        <v>27</v>
      </c>
    </row>
    <row r="139" spans="1:19" s="22" customFormat="1" ht="16.5" x14ac:dyDescent="0.25">
      <c r="A139" s="23">
        <f t="shared" ref="A139:A142" si="151">SUM(A138+1)</f>
        <v>106</v>
      </c>
      <c r="B139" s="111" t="s">
        <v>22</v>
      </c>
      <c r="C139" s="112"/>
      <c r="D139" s="28">
        <f>SUM(E139:R139)</f>
        <v>0</v>
      </c>
      <c r="E139" s="29">
        <f t="shared" ref="E139:N139" si="152">E145</f>
        <v>0</v>
      </c>
      <c r="F139" s="29">
        <f t="shared" si="152"/>
        <v>0</v>
      </c>
      <c r="G139" s="29">
        <f t="shared" si="152"/>
        <v>0</v>
      </c>
      <c r="H139" s="38">
        <f t="shared" si="152"/>
        <v>0</v>
      </c>
      <c r="I139" s="38">
        <f t="shared" si="152"/>
        <v>0</v>
      </c>
      <c r="J139" s="29">
        <f t="shared" si="152"/>
        <v>0</v>
      </c>
      <c r="K139" s="29">
        <f t="shared" si="152"/>
        <v>0</v>
      </c>
      <c r="L139" s="29">
        <f t="shared" si="152"/>
        <v>0</v>
      </c>
      <c r="M139" s="30">
        <f t="shared" si="152"/>
        <v>0</v>
      </c>
      <c r="N139" s="91">
        <f t="shared" si="152"/>
        <v>0</v>
      </c>
      <c r="O139" s="29">
        <f t="shared" ref="O139:R139" si="153">O145</f>
        <v>0</v>
      </c>
      <c r="P139" s="29">
        <f t="shared" si="153"/>
        <v>0</v>
      </c>
      <c r="Q139" s="29">
        <f t="shared" si="153"/>
        <v>0</v>
      </c>
      <c r="R139" s="29">
        <f t="shared" si="153"/>
        <v>0</v>
      </c>
      <c r="S139" s="23" t="s">
        <v>27</v>
      </c>
    </row>
    <row r="140" spans="1:19" s="22" customFormat="1" ht="16.5" x14ac:dyDescent="0.25">
      <c r="A140" s="23">
        <f t="shared" si="151"/>
        <v>107</v>
      </c>
      <c r="B140" s="111" t="s">
        <v>23</v>
      </c>
      <c r="C140" s="112"/>
      <c r="D140" s="28">
        <f t="shared" ref="D140:D142" si="154">SUM(E140:R140)</f>
        <v>1346432.43</v>
      </c>
      <c r="E140" s="29">
        <f t="shared" ref="E140:G142" si="155">E146</f>
        <v>81700</v>
      </c>
      <c r="F140" s="29">
        <f t="shared" si="155"/>
        <v>0</v>
      </c>
      <c r="G140" s="29">
        <f t="shared" si="155"/>
        <v>71500</v>
      </c>
      <c r="H140" s="38">
        <v>190509</v>
      </c>
      <c r="I140" s="38">
        <f t="shared" ref="I140:N142" si="156">I146</f>
        <v>185587.43</v>
      </c>
      <c r="J140" s="29">
        <f t="shared" si="156"/>
        <v>0</v>
      </c>
      <c r="K140" s="29">
        <f t="shared" si="156"/>
        <v>200600</v>
      </c>
      <c r="L140" s="29">
        <f t="shared" si="156"/>
        <v>0</v>
      </c>
      <c r="M140" s="30">
        <f t="shared" si="156"/>
        <v>214412</v>
      </c>
      <c r="N140" s="91">
        <f>N146</f>
        <v>402124</v>
      </c>
      <c r="O140" s="29">
        <f t="shared" ref="O140:R140" si="157">O146</f>
        <v>0</v>
      </c>
      <c r="P140" s="29">
        <f t="shared" si="157"/>
        <v>0</v>
      </c>
      <c r="Q140" s="29">
        <f t="shared" si="157"/>
        <v>0</v>
      </c>
      <c r="R140" s="29">
        <f t="shared" si="157"/>
        <v>0</v>
      </c>
      <c r="S140" s="23" t="s">
        <v>27</v>
      </c>
    </row>
    <row r="141" spans="1:19" s="22" customFormat="1" ht="16.5" x14ac:dyDescent="0.25">
      <c r="A141" s="23">
        <f t="shared" si="151"/>
        <v>108</v>
      </c>
      <c r="B141" s="111" t="s">
        <v>24</v>
      </c>
      <c r="C141" s="112"/>
      <c r="D141" s="28">
        <f t="shared" si="154"/>
        <v>182990821.19</v>
      </c>
      <c r="E141" s="29">
        <f t="shared" si="155"/>
        <v>7111890</v>
      </c>
      <c r="F141" s="29">
        <f t="shared" si="155"/>
        <v>6344082.0200000005</v>
      </c>
      <c r="G141" s="29">
        <f t="shared" si="155"/>
        <v>6837977</v>
      </c>
      <c r="H141" s="38">
        <f>H147</f>
        <v>6978756</v>
      </c>
      <c r="I141" s="38">
        <f t="shared" si="156"/>
        <v>11348137.440000001</v>
      </c>
      <c r="J141" s="29">
        <f t="shared" si="156"/>
        <v>8948851</v>
      </c>
      <c r="K141" s="29">
        <f t="shared" si="156"/>
        <v>11529262.690000001</v>
      </c>
      <c r="L141" s="29">
        <f t="shared" si="156"/>
        <v>14360383.039999999</v>
      </c>
      <c r="M141" s="30">
        <f t="shared" si="156"/>
        <v>17842731</v>
      </c>
      <c r="N141" s="91">
        <f t="shared" si="156"/>
        <v>20920003</v>
      </c>
      <c r="O141" s="29">
        <f t="shared" ref="O141:R141" si="158">O147</f>
        <v>23861491</v>
      </c>
      <c r="P141" s="29">
        <f t="shared" si="158"/>
        <v>24043452</v>
      </c>
      <c r="Q141" s="29">
        <f t="shared" si="158"/>
        <v>22863805</v>
      </c>
      <c r="R141" s="29">
        <f t="shared" si="158"/>
        <v>0</v>
      </c>
      <c r="S141" s="23" t="s">
        <v>27</v>
      </c>
    </row>
    <row r="142" spans="1:19" s="22" customFormat="1" ht="16.5" x14ac:dyDescent="0.25">
      <c r="A142" s="23">
        <f t="shared" si="151"/>
        <v>109</v>
      </c>
      <c r="B142" s="111" t="s">
        <v>25</v>
      </c>
      <c r="C142" s="112"/>
      <c r="D142" s="28">
        <f t="shared" si="154"/>
        <v>887300</v>
      </c>
      <c r="E142" s="29">
        <f t="shared" si="155"/>
        <v>0</v>
      </c>
      <c r="F142" s="29">
        <f t="shared" si="155"/>
        <v>0</v>
      </c>
      <c r="G142" s="29">
        <f t="shared" si="155"/>
        <v>0</v>
      </c>
      <c r="H142" s="38">
        <f>H148</f>
        <v>0</v>
      </c>
      <c r="I142" s="38">
        <f t="shared" si="156"/>
        <v>0</v>
      </c>
      <c r="J142" s="29">
        <f t="shared" si="156"/>
        <v>0</v>
      </c>
      <c r="K142" s="29">
        <f t="shared" si="156"/>
        <v>77000</v>
      </c>
      <c r="L142" s="29">
        <f t="shared" si="156"/>
        <v>77000</v>
      </c>
      <c r="M142" s="30">
        <f t="shared" si="156"/>
        <v>145000</v>
      </c>
      <c r="N142" s="91">
        <f t="shared" si="156"/>
        <v>488300</v>
      </c>
      <c r="O142" s="29">
        <f t="shared" ref="O142:R142" si="159">O148</f>
        <v>100000</v>
      </c>
      <c r="P142" s="29">
        <f t="shared" si="159"/>
        <v>0</v>
      </c>
      <c r="Q142" s="29">
        <f t="shared" si="159"/>
        <v>0</v>
      </c>
      <c r="R142" s="29">
        <f t="shared" si="159"/>
        <v>0</v>
      </c>
      <c r="S142" s="23" t="s">
        <v>27</v>
      </c>
    </row>
    <row r="143" spans="1:19" s="22" customFormat="1" ht="21" customHeight="1" x14ac:dyDescent="0.25">
      <c r="A143" s="119" t="s">
        <v>26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1"/>
    </row>
    <row r="144" spans="1:19" s="22" customFormat="1" ht="16.5" x14ac:dyDescent="0.25">
      <c r="A144" s="23">
        <f>A142+1</f>
        <v>110</v>
      </c>
      <c r="B144" s="34" t="s">
        <v>26</v>
      </c>
      <c r="C144" s="104">
        <f>SUM(E144:R144)</f>
        <v>185224553.62</v>
      </c>
      <c r="D144" s="105"/>
      <c r="E144" s="28">
        <f t="shared" ref="E144:R144" si="160">SUM(E145:E148)</f>
        <v>7193590</v>
      </c>
      <c r="F144" s="28">
        <f t="shared" si="160"/>
        <v>6344082.0200000005</v>
      </c>
      <c r="G144" s="28">
        <f t="shared" si="160"/>
        <v>6909477</v>
      </c>
      <c r="H144" s="37">
        <f t="shared" si="160"/>
        <v>7169265</v>
      </c>
      <c r="I144" s="37">
        <f t="shared" si="160"/>
        <v>11533724.870000001</v>
      </c>
      <c r="J144" s="28">
        <f t="shared" si="160"/>
        <v>8948851</v>
      </c>
      <c r="K144" s="28">
        <f t="shared" si="160"/>
        <v>11806862.690000001</v>
      </c>
      <c r="L144" s="28">
        <f t="shared" si="160"/>
        <v>14437383.039999999</v>
      </c>
      <c r="M144" s="35">
        <f t="shared" si="160"/>
        <v>18202143</v>
      </c>
      <c r="N144" s="92">
        <f t="shared" si="160"/>
        <v>21810427</v>
      </c>
      <c r="O144" s="28">
        <f t="shared" si="160"/>
        <v>23961491</v>
      </c>
      <c r="P144" s="28">
        <f t="shared" si="160"/>
        <v>24043452</v>
      </c>
      <c r="Q144" s="28">
        <f t="shared" si="160"/>
        <v>22863805</v>
      </c>
      <c r="R144" s="28">
        <f t="shared" si="160"/>
        <v>0</v>
      </c>
      <c r="S144" s="23" t="s">
        <v>27</v>
      </c>
    </row>
    <row r="145" spans="1:19" s="22" customFormat="1" ht="16.5" x14ac:dyDescent="0.25">
      <c r="A145" s="23">
        <f>A144+1</f>
        <v>111</v>
      </c>
      <c r="B145" s="33" t="s">
        <v>22</v>
      </c>
      <c r="C145" s="104">
        <f t="shared" ref="C145:C148" si="161">SUM(E145:R145)</f>
        <v>0</v>
      </c>
      <c r="D145" s="105"/>
      <c r="E145" s="29">
        <f t="shared" ref="E145:J145" si="162">E151+E157+E163</f>
        <v>0</v>
      </c>
      <c r="F145" s="29">
        <f t="shared" si="162"/>
        <v>0</v>
      </c>
      <c r="G145" s="29">
        <f t="shared" si="162"/>
        <v>0</v>
      </c>
      <c r="H145" s="38">
        <f t="shared" si="162"/>
        <v>0</v>
      </c>
      <c r="I145" s="38">
        <f t="shared" si="162"/>
        <v>0</v>
      </c>
      <c r="J145" s="29">
        <f t="shared" si="162"/>
        <v>0</v>
      </c>
      <c r="K145" s="29">
        <v>0</v>
      </c>
      <c r="L145" s="29">
        <v>0</v>
      </c>
      <c r="M145" s="30">
        <v>0</v>
      </c>
      <c r="N145" s="91">
        <v>0</v>
      </c>
      <c r="O145" s="29">
        <v>0</v>
      </c>
      <c r="P145" s="29">
        <v>0</v>
      </c>
      <c r="Q145" s="29">
        <v>0</v>
      </c>
      <c r="R145" s="29">
        <v>0</v>
      </c>
      <c r="S145" s="23" t="s">
        <v>27</v>
      </c>
    </row>
    <row r="146" spans="1:19" s="22" customFormat="1" ht="16.5" x14ac:dyDescent="0.25">
      <c r="A146" s="23">
        <f>A145+1</f>
        <v>112</v>
      </c>
      <c r="B146" s="33" t="s">
        <v>23</v>
      </c>
      <c r="C146" s="104">
        <f t="shared" si="161"/>
        <v>1346432.43</v>
      </c>
      <c r="D146" s="105"/>
      <c r="E146" s="29">
        <f t="shared" ref="E146:G148" si="163">E152+E158+E164</f>
        <v>81700</v>
      </c>
      <c r="F146" s="29">
        <f t="shared" si="163"/>
        <v>0</v>
      </c>
      <c r="G146" s="29">
        <f t="shared" si="163"/>
        <v>71500</v>
      </c>
      <c r="H146" s="38">
        <v>190509</v>
      </c>
      <c r="I146" s="38">
        <f t="shared" ref="I146:J148" si="164">I152+I158+I164</f>
        <v>185587.43</v>
      </c>
      <c r="J146" s="29">
        <f t="shared" si="164"/>
        <v>0</v>
      </c>
      <c r="K146" s="29">
        <f>K152+K158+K164+K169+K173+K177</f>
        <v>200600</v>
      </c>
      <c r="L146" s="29">
        <f>L152+L158+L164</f>
        <v>0</v>
      </c>
      <c r="M146" s="30">
        <f>M152+M158+M164</f>
        <v>214412</v>
      </c>
      <c r="N146" s="91">
        <f>N152+N158+N164</f>
        <v>402124</v>
      </c>
      <c r="O146" s="29">
        <f t="shared" ref="O146:R146" si="165">O152+O158+O164</f>
        <v>0</v>
      </c>
      <c r="P146" s="29">
        <f t="shared" si="165"/>
        <v>0</v>
      </c>
      <c r="Q146" s="29">
        <f t="shared" si="165"/>
        <v>0</v>
      </c>
      <c r="R146" s="29">
        <f t="shared" si="165"/>
        <v>0</v>
      </c>
      <c r="S146" s="23" t="s">
        <v>27</v>
      </c>
    </row>
    <row r="147" spans="1:19" s="22" customFormat="1" ht="16.5" x14ac:dyDescent="0.25">
      <c r="A147" s="23">
        <f>A146+1</f>
        <v>113</v>
      </c>
      <c r="B147" s="33" t="s">
        <v>24</v>
      </c>
      <c r="C147" s="104">
        <f t="shared" si="161"/>
        <v>182990821.19</v>
      </c>
      <c r="D147" s="105"/>
      <c r="E147" s="29">
        <f t="shared" si="163"/>
        <v>7111890</v>
      </c>
      <c r="F147" s="29">
        <f t="shared" si="163"/>
        <v>6344082.0200000005</v>
      </c>
      <c r="G147" s="29">
        <f t="shared" si="163"/>
        <v>6837977</v>
      </c>
      <c r="H147" s="38">
        <f>H153+H159+H165</f>
        <v>6978756</v>
      </c>
      <c r="I147" s="38">
        <f t="shared" si="164"/>
        <v>11348137.440000001</v>
      </c>
      <c r="J147" s="29">
        <f t="shared" si="164"/>
        <v>8948851</v>
      </c>
      <c r="K147" s="29">
        <f>K153+K159+K174+K170+K182</f>
        <v>11529262.690000001</v>
      </c>
      <c r="L147" s="29">
        <f>L153+L159+L174+L170+L182</f>
        <v>14360383.039999999</v>
      </c>
      <c r="M147" s="30">
        <f>M153+M159+M174+M170+M182+M186</f>
        <v>17842731</v>
      </c>
      <c r="N147" s="91">
        <f>N153+N159+N174+N170+N182+N186</f>
        <v>20920003</v>
      </c>
      <c r="O147" s="29">
        <f>O153+O159+O174+O170+O182+O186+O190</f>
        <v>23861491</v>
      </c>
      <c r="P147" s="29">
        <f t="shared" ref="P147:R147" si="166">P153+P159+P174+P170+P182+P186+P190</f>
        <v>24043452</v>
      </c>
      <c r="Q147" s="29">
        <f t="shared" si="166"/>
        <v>22863805</v>
      </c>
      <c r="R147" s="29">
        <f t="shared" si="166"/>
        <v>0</v>
      </c>
      <c r="S147" s="23" t="s">
        <v>27</v>
      </c>
    </row>
    <row r="148" spans="1:19" s="22" customFormat="1" ht="16.5" x14ac:dyDescent="0.25">
      <c r="A148" s="23">
        <f>A147+1</f>
        <v>114</v>
      </c>
      <c r="B148" s="39" t="s">
        <v>25</v>
      </c>
      <c r="C148" s="104">
        <f t="shared" si="161"/>
        <v>887300</v>
      </c>
      <c r="D148" s="105"/>
      <c r="E148" s="29">
        <f t="shared" si="163"/>
        <v>0</v>
      </c>
      <c r="F148" s="29">
        <f t="shared" si="163"/>
        <v>0</v>
      </c>
      <c r="G148" s="29">
        <f t="shared" si="163"/>
        <v>0</v>
      </c>
      <c r="H148" s="38">
        <f>H154+H160+H166</f>
        <v>0</v>
      </c>
      <c r="I148" s="38">
        <f t="shared" si="164"/>
        <v>0</v>
      </c>
      <c r="J148" s="29">
        <f t="shared" si="164"/>
        <v>0</v>
      </c>
      <c r="K148" s="29">
        <f>K154+K160+K166</f>
        <v>77000</v>
      </c>
      <c r="L148" s="29">
        <f>L154+L160+L166</f>
        <v>77000</v>
      </c>
      <c r="M148" s="30">
        <f>M154+M160+M166</f>
        <v>145000</v>
      </c>
      <c r="N148" s="91">
        <f>N154+N160+N166</f>
        <v>488300</v>
      </c>
      <c r="O148" s="29">
        <f t="shared" ref="O148:R148" si="167">O154+O160+O166</f>
        <v>100000</v>
      </c>
      <c r="P148" s="29">
        <f t="shared" si="167"/>
        <v>0</v>
      </c>
      <c r="Q148" s="29">
        <f t="shared" si="167"/>
        <v>0</v>
      </c>
      <c r="R148" s="29">
        <f t="shared" si="167"/>
        <v>0</v>
      </c>
      <c r="S148" s="23" t="s">
        <v>27</v>
      </c>
    </row>
    <row r="149" spans="1:19" s="98" customFormat="1" ht="16.5" x14ac:dyDescent="0.25">
      <c r="A149" s="150">
        <f>A148+1</f>
        <v>115</v>
      </c>
      <c r="B149" s="99" t="s">
        <v>46</v>
      </c>
      <c r="C149" s="109">
        <f>SUM(E149:R150)</f>
        <v>174180756.06999999</v>
      </c>
      <c r="D149" s="192"/>
      <c r="E149" s="109">
        <f t="shared" ref="E149:N149" si="168">SUM(E151:E154)</f>
        <v>7051390</v>
      </c>
      <c r="F149" s="109">
        <f t="shared" si="168"/>
        <v>5728657.6600000001</v>
      </c>
      <c r="G149" s="109">
        <f t="shared" si="168"/>
        <v>6789977</v>
      </c>
      <c r="H149" s="109">
        <f t="shared" si="168"/>
        <v>6906756</v>
      </c>
      <c r="I149" s="109">
        <f t="shared" si="168"/>
        <v>8533724.870000001</v>
      </c>
      <c r="J149" s="109">
        <f t="shared" si="168"/>
        <v>8948851</v>
      </c>
      <c r="K149" s="109">
        <f t="shared" si="168"/>
        <v>9118964.540000001</v>
      </c>
      <c r="L149" s="109">
        <f t="shared" si="168"/>
        <v>11281317</v>
      </c>
      <c r="M149" s="109">
        <f t="shared" si="168"/>
        <v>17617143</v>
      </c>
      <c r="N149" s="109">
        <f t="shared" si="168"/>
        <v>21485227</v>
      </c>
      <c r="O149" s="109">
        <f t="shared" ref="O149:R149" si="169">SUM(O151:O154)</f>
        <v>23811491</v>
      </c>
      <c r="P149" s="109">
        <f t="shared" si="169"/>
        <v>24043452</v>
      </c>
      <c r="Q149" s="109">
        <f t="shared" si="169"/>
        <v>22863805</v>
      </c>
      <c r="R149" s="109">
        <f t="shared" si="169"/>
        <v>0</v>
      </c>
      <c r="S149" s="150" t="s">
        <v>111</v>
      </c>
    </row>
    <row r="150" spans="1:19" s="98" customFormat="1" ht="158.25" customHeight="1" x14ac:dyDescent="0.25">
      <c r="A150" s="151"/>
      <c r="B150" s="100" t="s">
        <v>59</v>
      </c>
      <c r="C150" s="193"/>
      <c r="D150" s="194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51"/>
    </row>
    <row r="151" spans="1:19" s="22" customFormat="1" ht="16.5" x14ac:dyDescent="0.25">
      <c r="A151" s="23">
        <f>A149+1</f>
        <v>116</v>
      </c>
      <c r="B151" s="33" t="s">
        <v>22</v>
      </c>
      <c r="C151" s="104">
        <f>SUM(E151:R151)</f>
        <v>0</v>
      </c>
      <c r="D151" s="105"/>
      <c r="E151" s="29">
        <v>0</v>
      </c>
      <c r="F151" s="29">
        <v>0</v>
      </c>
      <c r="G151" s="29">
        <v>0</v>
      </c>
      <c r="H151" s="38">
        <v>0</v>
      </c>
      <c r="I151" s="38">
        <v>0</v>
      </c>
      <c r="J151" s="29">
        <v>0</v>
      </c>
      <c r="K151" s="29">
        <v>0</v>
      </c>
      <c r="L151" s="29">
        <v>0</v>
      </c>
      <c r="M151" s="30">
        <v>0</v>
      </c>
      <c r="N151" s="91">
        <v>0</v>
      </c>
      <c r="O151" s="29">
        <v>0</v>
      </c>
      <c r="P151" s="29">
        <v>0</v>
      </c>
      <c r="Q151" s="29">
        <v>0</v>
      </c>
      <c r="R151" s="29">
        <v>0</v>
      </c>
      <c r="S151" s="23" t="s">
        <v>20</v>
      </c>
    </row>
    <row r="152" spans="1:19" s="22" customFormat="1" ht="16.5" x14ac:dyDescent="0.25">
      <c r="A152" s="23">
        <f>A151+1</f>
        <v>117</v>
      </c>
      <c r="B152" s="33" t="s">
        <v>23</v>
      </c>
      <c r="C152" s="104">
        <f t="shared" ref="C152:C154" si="170">SUM(E152:R152)</f>
        <v>676923.42999999993</v>
      </c>
      <c r="D152" s="105"/>
      <c r="E152" s="29">
        <v>0</v>
      </c>
      <c r="F152" s="29">
        <v>0</v>
      </c>
      <c r="G152" s="29">
        <v>0</v>
      </c>
      <c r="H152" s="38">
        <f>H170</f>
        <v>0</v>
      </c>
      <c r="I152" s="38">
        <f>185587.43</f>
        <v>185587.43</v>
      </c>
      <c r="J152" s="29">
        <v>0</v>
      </c>
      <c r="K152" s="29">
        <f>0</f>
        <v>0</v>
      </c>
      <c r="L152" s="29">
        <v>0</v>
      </c>
      <c r="M152" s="30">
        <v>214412</v>
      </c>
      <c r="N152" s="91">
        <f>27087+249837</f>
        <v>276924</v>
      </c>
      <c r="O152" s="29">
        <v>0</v>
      </c>
      <c r="P152" s="29">
        <v>0</v>
      </c>
      <c r="Q152" s="29">
        <v>0</v>
      </c>
      <c r="R152" s="29">
        <v>0</v>
      </c>
      <c r="S152" s="23" t="s">
        <v>20</v>
      </c>
    </row>
    <row r="153" spans="1:19" s="22" customFormat="1" ht="16.5" x14ac:dyDescent="0.25">
      <c r="A153" s="23">
        <f>A152+1</f>
        <v>118</v>
      </c>
      <c r="B153" s="33" t="s">
        <v>24</v>
      </c>
      <c r="C153" s="104">
        <f t="shared" si="170"/>
        <v>172616532.63999999</v>
      </c>
      <c r="D153" s="105"/>
      <c r="E153" s="29">
        <v>7051390</v>
      </c>
      <c r="F153" s="29">
        <v>5728657.6600000001</v>
      </c>
      <c r="G153" s="29">
        <v>6789977</v>
      </c>
      <c r="H153" s="38">
        <f>8841756-2000000-72000+100000+37000</f>
        <v>6906756</v>
      </c>
      <c r="I153" s="38">
        <f>8217251.79+130885.65</f>
        <v>8348137.4400000004</v>
      </c>
      <c r="J153" s="29">
        <v>8948851</v>
      </c>
      <c r="K153" s="29">
        <f>12623406-2059416.38-186025.08-1336000</f>
        <v>9041964.540000001</v>
      </c>
      <c r="L153" s="29">
        <f>10622317+582000</f>
        <v>11204317</v>
      </c>
      <c r="M153" s="30">
        <f>17087731+1000000-100000-730000</f>
        <v>17257731</v>
      </c>
      <c r="N153" s="91">
        <f>20720003</f>
        <v>20720003</v>
      </c>
      <c r="O153" s="29">
        <v>23711491</v>
      </c>
      <c r="P153" s="29">
        <v>24043452</v>
      </c>
      <c r="Q153" s="29">
        <v>22863805</v>
      </c>
      <c r="R153" s="29">
        <v>0</v>
      </c>
      <c r="S153" s="23" t="s">
        <v>20</v>
      </c>
    </row>
    <row r="154" spans="1:19" s="22" customFormat="1" ht="20.25" customHeight="1" x14ac:dyDescent="0.25">
      <c r="A154" s="23">
        <f>A153+1</f>
        <v>119</v>
      </c>
      <c r="B154" s="39" t="s">
        <v>25</v>
      </c>
      <c r="C154" s="104">
        <f t="shared" si="170"/>
        <v>887300</v>
      </c>
      <c r="D154" s="105"/>
      <c r="E154" s="43">
        <v>0</v>
      </c>
      <c r="F154" s="43">
        <v>0</v>
      </c>
      <c r="G154" s="43">
        <v>0</v>
      </c>
      <c r="H154" s="44">
        <v>0</v>
      </c>
      <c r="I154" s="44">
        <v>0</v>
      </c>
      <c r="J154" s="43">
        <v>0</v>
      </c>
      <c r="K154" s="43">
        <v>77000</v>
      </c>
      <c r="L154" s="43">
        <v>77000</v>
      </c>
      <c r="M154" s="45">
        <f>77000+23000+45000</f>
        <v>145000</v>
      </c>
      <c r="N154" s="93">
        <f>145000+343300</f>
        <v>488300</v>
      </c>
      <c r="O154" s="43">
        <v>100000</v>
      </c>
      <c r="P154" s="43">
        <v>0</v>
      </c>
      <c r="Q154" s="43">
        <v>0</v>
      </c>
      <c r="R154" s="43">
        <v>0</v>
      </c>
      <c r="S154" s="23" t="s">
        <v>20</v>
      </c>
    </row>
    <row r="155" spans="1:19" s="22" customFormat="1" ht="16.5" x14ac:dyDescent="0.25">
      <c r="A155" s="102">
        <f>A154+1</f>
        <v>120</v>
      </c>
      <c r="B155" s="40" t="s">
        <v>34</v>
      </c>
      <c r="C155" s="190">
        <f>SUM(E155:R156)</f>
        <v>4589916.33</v>
      </c>
      <c r="D155" s="160"/>
      <c r="E155" s="104">
        <f t="shared" ref="E155:N155" si="171">SUM(E157:E160)</f>
        <v>142200</v>
      </c>
      <c r="F155" s="104">
        <f t="shared" si="171"/>
        <v>0</v>
      </c>
      <c r="G155" s="104">
        <f t="shared" si="171"/>
        <v>119500</v>
      </c>
      <c r="H155" s="117">
        <f t="shared" si="171"/>
        <v>72000</v>
      </c>
      <c r="I155" s="117">
        <f t="shared" si="171"/>
        <v>3000000</v>
      </c>
      <c r="J155" s="104">
        <f t="shared" si="171"/>
        <v>0</v>
      </c>
      <c r="K155" s="104">
        <f t="shared" si="171"/>
        <v>200000</v>
      </c>
      <c r="L155" s="104">
        <f t="shared" si="171"/>
        <v>631016.32999999996</v>
      </c>
      <c r="M155" s="115">
        <f t="shared" si="171"/>
        <v>100000</v>
      </c>
      <c r="N155" s="109">
        <f t="shared" si="171"/>
        <v>325200</v>
      </c>
      <c r="O155" s="104">
        <f t="shared" ref="O155:R155" si="172">SUM(O157:O160)</f>
        <v>0</v>
      </c>
      <c r="P155" s="104">
        <f t="shared" si="172"/>
        <v>0</v>
      </c>
      <c r="Q155" s="104">
        <f t="shared" si="172"/>
        <v>0</v>
      </c>
      <c r="R155" s="104">
        <f t="shared" si="172"/>
        <v>0</v>
      </c>
      <c r="S155" s="102">
        <v>24.26</v>
      </c>
    </row>
    <row r="156" spans="1:19" s="22" customFormat="1" ht="102" customHeight="1" x14ac:dyDescent="0.25">
      <c r="A156" s="103"/>
      <c r="B156" s="41" t="s">
        <v>60</v>
      </c>
      <c r="C156" s="191"/>
      <c r="D156" s="162"/>
      <c r="E156" s="106"/>
      <c r="F156" s="106"/>
      <c r="G156" s="106"/>
      <c r="H156" s="118"/>
      <c r="I156" s="118"/>
      <c r="J156" s="106"/>
      <c r="K156" s="106"/>
      <c r="L156" s="106"/>
      <c r="M156" s="116"/>
      <c r="N156" s="110"/>
      <c r="O156" s="106"/>
      <c r="P156" s="106"/>
      <c r="Q156" s="106"/>
      <c r="R156" s="106"/>
      <c r="S156" s="103"/>
    </row>
    <row r="157" spans="1:19" s="22" customFormat="1" ht="16.5" x14ac:dyDescent="0.25">
      <c r="A157" s="23">
        <f>A155+1</f>
        <v>121</v>
      </c>
      <c r="B157" s="33" t="s">
        <v>22</v>
      </c>
      <c r="C157" s="52"/>
      <c r="D157" s="28">
        <f>SUM(E157:R157)</f>
        <v>0</v>
      </c>
      <c r="E157" s="29">
        <v>0</v>
      </c>
      <c r="F157" s="29">
        <v>0</v>
      </c>
      <c r="G157" s="29">
        <v>0</v>
      </c>
      <c r="H157" s="38">
        <v>0</v>
      </c>
      <c r="I157" s="38">
        <v>0</v>
      </c>
      <c r="J157" s="29">
        <v>0</v>
      </c>
      <c r="K157" s="29">
        <v>0</v>
      </c>
      <c r="L157" s="29">
        <v>0</v>
      </c>
      <c r="M157" s="30">
        <v>0</v>
      </c>
      <c r="N157" s="91">
        <v>0</v>
      </c>
      <c r="O157" s="29">
        <v>0</v>
      </c>
      <c r="P157" s="29">
        <v>0</v>
      </c>
      <c r="Q157" s="29">
        <v>0</v>
      </c>
      <c r="R157" s="29">
        <v>0</v>
      </c>
      <c r="S157" s="23" t="s">
        <v>20</v>
      </c>
    </row>
    <row r="158" spans="1:19" s="22" customFormat="1" ht="16.5" x14ac:dyDescent="0.25">
      <c r="A158" s="23">
        <f>A157+1</f>
        <v>122</v>
      </c>
      <c r="B158" s="33" t="s">
        <v>23</v>
      </c>
      <c r="C158" s="104">
        <f>SUM(E158:R158)</f>
        <v>278400</v>
      </c>
      <c r="D158" s="105"/>
      <c r="E158" s="29">
        <v>81700</v>
      </c>
      <c r="F158" s="29">
        <v>0</v>
      </c>
      <c r="G158" s="29">
        <v>71500</v>
      </c>
      <c r="H158" s="38">
        <v>0</v>
      </c>
      <c r="I158" s="38">
        <v>0</v>
      </c>
      <c r="J158" s="29">
        <v>0</v>
      </c>
      <c r="K158" s="29">
        <v>0</v>
      </c>
      <c r="L158" s="29">
        <v>0</v>
      </c>
      <c r="M158" s="30">
        <v>0</v>
      </c>
      <c r="N158" s="91">
        <v>125200</v>
      </c>
      <c r="O158" s="29">
        <v>0</v>
      </c>
      <c r="P158" s="29">
        <v>0</v>
      </c>
      <c r="Q158" s="29">
        <v>0</v>
      </c>
      <c r="R158" s="29">
        <v>0</v>
      </c>
      <c r="S158" s="23" t="s">
        <v>20</v>
      </c>
    </row>
    <row r="159" spans="1:19" s="22" customFormat="1" ht="16.5" x14ac:dyDescent="0.25">
      <c r="A159" s="23">
        <f>A158+1</f>
        <v>123</v>
      </c>
      <c r="B159" s="33" t="s">
        <v>24</v>
      </c>
      <c r="C159" s="104">
        <f>SUM(E159:R159)</f>
        <v>4311516.33</v>
      </c>
      <c r="D159" s="105"/>
      <c r="E159" s="29">
        <v>60500</v>
      </c>
      <c r="F159" s="29">
        <v>0</v>
      </c>
      <c r="G159" s="29">
        <v>48000</v>
      </c>
      <c r="H159" s="38">
        <v>72000</v>
      </c>
      <c r="I159" s="38">
        <v>3000000</v>
      </c>
      <c r="J159" s="29">
        <f>11250080-640700-5000000-5577280-32100</f>
        <v>0</v>
      </c>
      <c r="K159" s="29">
        <v>200000</v>
      </c>
      <c r="L159" s="29">
        <v>631016.32999999996</v>
      </c>
      <c r="M159" s="30">
        <v>100000</v>
      </c>
      <c r="N159" s="91">
        <v>200000</v>
      </c>
      <c r="O159" s="29">
        <v>0</v>
      </c>
      <c r="P159" s="29">
        <v>0</v>
      </c>
      <c r="Q159" s="29">
        <v>0</v>
      </c>
      <c r="R159" s="29">
        <v>0</v>
      </c>
      <c r="S159" s="23" t="s">
        <v>20</v>
      </c>
    </row>
    <row r="160" spans="1:19" s="22" customFormat="1" ht="16.5" x14ac:dyDescent="0.25">
      <c r="A160" s="23">
        <f>A159+1</f>
        <v>124</v>
      </c>
      <c r="B160" s="39" t="s">
        <v>25</v>
      </c>
      <c r="C160" s="104">
        <f>SUM(E160:R160)</f>
        <v>0</v>
      </c>
      <c r="D160" s="105"/>
      <c r="E160" s="29">
        <v>0</v>
      </c>
      <c r="F160" s="29">
        <v>0</v>
      </c>
      <c r="G160" s="29">
        <v>0</v>
      </c>
      <c r="H160" s="38">
        <v>0</v>
      </c>
      <c r="I160" s="38">
        <v>0</v>
      </c>
      <c r="J160" s="29">
        <v>0</v>
      </c>
      <c r="K160" s="29">
        <v>0</v>
      </c>
      <c r="L160" s="29">
        <v>0</v>
      </c>
      <c r="M160" s="30">
        <v>0</v>
      </c>
      <c r="N160" s="91">
        <v>0</v>
      </c>
      <c r="O160" s="29">
        <v>0</v>
      </c>
      <c r="P160" s="29">
        <v>0</v>
      </c>
      <c r="Q160" s="29">
        <v>0</v>
      </c>
      <c r="R160" s="29">
        <v>0</v>
      </c>
      <c r="S160" s="23" t="s">
        <v>20</v>
      </c>
    </row>
    <row r="161" spans="1:19" s="22" customFormat="1" ht="16.5" x14ac:dyDescent="0.25">
      <c r="A161" s="102">
        <f>A160+1</f>
        <v>125</v>
      </c>
      <c r="B161" s="40" t="s">
        <v>36</v>
      </c>
      <c r="C161" s="190">
        <f>SUM(E161:R162)</f>
        <v>615424.36</v>
      </c>
      <c r="D161" s="160"/>
      <c r="E161" s="104">
        <f t="shared" ref="E161:K161" si="173">SUM(E163:E166)</f>
        <v>0</v>
      </c>
      <c r="F161" s="104">
        <f t="shared" si="173"/>
        <v>615424.36</v>
      </c>
      <c r="G161" s="104">
        <f t="shared" si="173"/>
        <v>0</v>
      </c>
      <c r="H161" s="117">
        <f t="shared" si="173"/>
        <v>0</v>
      </c>
      <c r="I161" s="117">
        <f t="shared" si="173"/>
        <v>0</v>
      </c>
      <c r="J161" s="104">
        <f t="shared" si="173"/>
        <v>0</v>
      </c>
      <c r="K161" s="104">
        <f t="shared" si="173"/>
        <v>0</v>
      </c>
      <c r="L161" s="141">
        <v>0</v>
      </c>
      <c r="M161" s="145">
        <v>0</v>
      </c>
      <c r="N161" s="109">
        <v>0</v>
      </c>
      <c r="O161" s="104">
        <v>0</v>
      </c>
      <c r="P161" s="104">
        <v>0</v>
      </c>
      <c r="Q161" s="104">
        <v>0</v>
      </c>
      <c r="R161" s="104">
        <v>0</v>
      </c>
      <c r="S161" s="102">
        <v>24.26</v>
      </c>
    </row>
    <row r="162" spans="1:19" s="22" customFormat="1" ht="57" customHeight="1" x14ac:dyDescent="0.25">
      <c r="A162" s="103"/>
      <c r="B162" s="41" t="s">
        <v>35</v>
      </c>
      <c r="C162" s="191"/>
      <c r="D162" s="162"/>
      <c r="E162" s="106"/>
      <c r="F162" s="106"/>
      <c r="G162" s="106"/>
      <c r="H162" s="118"/>
      <c r="I162" s="118"/>
      <c r="J162" s="106"/>
      <c r="K162" s="106"/>
      <c r="L162" s="142"/>
      <c r="M162" s="146"/>
      <c r="N162" s="110"/>
      <c r="O162" s="106"/>
      <c r="P162" s="106"/>
      <c r="Q162" s="106"/>
      <c r="R162" s="106"/>
      <c r="S162" s="103"/>
    </row>
    <row r="163" spans="1:19" s="22" customFormat="1" ht="16.5" x14ac:dyDescent="0.25">
      <c r="A163" s="23">
        <f>A161+1</f>
        <v>126</v>
      </c>
      <c r="B163" s="33" t="s">
        <v>22</v>
      </c>
      <c r="C163" s="52"/>
      <c r="D163" s="28">
        <f>SUM(E163:R163)</f>
        <v>0</v>
      </c>
      <c r="E163" s="29">
        <v>0</v>
      </c>
      <c r="F163" s="29">
        <v>0</v>
      </c>
      <c r="G163" s="29">
        <v>0</v>
      </c>
      <c r="H163" s="38">
        <v>0</v>
      </c>
      <c r="I163" s="38">
        <v>0</v>
      </c>
      <c r="J163" s="29">
        <v>0</v>
      </c>
      <c r="K163" s="29">
        <v>0</v>
      </c>
      <c r="L163" s="29">
        <v>0</v>
      </c>
      <c r="M163" s="30">
        <v>0</v>
      </c>
      <c r="N163" s="91">
        <v>0</v>
      </c>
      <c r="O163" s="29">
        <v>0</v>
      </c>
      <c r="P163" s="29">
        <v>0</v>
      </c>
      <c r="Q163" s="29">
        <v>0</v>
      </c>
      <c r="R163" s="29">
        <v>0</v>
      </c>
      <c r="S163" s="23" t="s">
        <v>20</v>
      </c>
    </row>
    <row r="164" spans="1:19" s="22" customFormat="1" ht="16.5" x14ac:dyDescent="0.25">
      <c r="A164" s="23">
        <f t="shared" ref="A164:A190" si="174">A163+1</f>
        <v>127</v>
      </c>
      <c r="B164" s="33" t="s">
        <v>23</v>
      </c>
      <c r="C164" s="104">
        <f>SUM(E164:R164)</f>
        <v>0</v>
      </c>
      <c r="D164" s="105"/>
      <c r="E164" s="29">
        <v>0</v>
      </c>
      <c r="F164" s="29">
        <v>0</v>
      </c>
      <c r="G164" s="29">
        <v>0</v>
      </c>
      <c r="H164" s="38">
        <v>0</v>
      </c>
      <c r="I164" s="38">
        <v>0</v>
      </c>
      <c r="J164" s="29">
        <v>0</v>
      </c>
      <c r="K164" s="29">
        <v>0</v>
      </c>
      <c r="L164" s="29">
        <v>0</v>
      </c>
      <c r="M164" s="30">
        <v>0</v>
      </c>
      <c r="N164" s="91">
        <v>0</v>
      </c>
      <c r="O164" s="29">
        <v>0</v>
      </c>
      <c r="P164" s="29">
        <v>0</v>
      </c>
      <c r="Q164" s="29">
        <v>0</v>
      </c>
      <c r="R164" s="29">
        <v>0</v>
      </c>
      <c r="S164" s="23" t="s">
        <v>20</v>
      </c>
    </row>
    <row r="165" spans="1:19" s="22" customFormat="1" ht="16.5" x14ac:dyDescent="0.25">
      <c r="A165" s="23">
        <f t="shared" si="174"/>
        <v>128</v>
      </c>
      <c r="B165" s="33" t="s">
        <v>24</v>
      </c>
      <c r="C165" s="104">
        <f>SUM(E165:R165)</f>
        <v>615424.36</v>
      </c>
      <c r="D165" s="105"/>
      <c r="E165" s="29">
        <v>0</v>
      </c>
      <c r="F165" s="29">
        <v>615424.36</v>
      </c>
      <c r="G165" s="29">
        <v>0</v>
      </c>
      <c r="H165" s="38">
        <v>0</v>
      </c>
      <c r="I165" s="38">
        <v>0</v>
      </c>
      <c r="J165" s="29">
        <v>0</v>
      </c>
      <c r="K165" s="29">
        <v>0</v>
      </c>
      <c r="L165" s="29">
        <v>0</v>
      </c>
      <c r="M165" s="30">
        <v>0</v>
      </c>
      <c r="N165" s="91">
        <v>0</v>
      </c>
      <c r="O165" s="29">
        <v>0</v>
      </c>
      <c r="P165" s="29">
        <v>0</v>
      </c>
      <c r="Q165" s="29">
        <v>0</v>
      </c>
      <c r="R165" s="29">
        <v>0</v>
      </c>
      <c r="S165" s="23" t="s">
        <v>20</v>
      </c>
    </row>
    <row r="166" spans="1:19" s="22" customFormat="1" ht="16.5" x14ac:dyDescent="0.25">
      <c r="A166" s="23">
        <f t="shared" si="174"/>
        <v>129</v>
      </c>
      <c r="B166" s="39" t="s">
        <v>25</v>
      </c>
      <c r="C166" s="104">
        <f>SUM(E166:R166)</f>
        <v>0</v>
      </c>
      <c r="D166" s="105"/>
      <c r="E166" s="29">
        <v>0</v>
      </c>
      <c r="F166" s="29">
        <v>0</v>
      </c>
      <c r="G166" s="29">
        <v>0</v>
      </c>
      <c r="H166" s="38">
        <v>0</v>
      </c>
      <c r="I166" s="38">
        <v>0</v>
      </c>
      <c r="J166" s="29">
        <v>0</v>
      </c>
      <c r="K166" s="29">
        <v>0</v>
      </c>
      <c r="L166" s="29">
        <v>0</v>
      </c>
      <c r="M166" s="30">
        <v>0</v>
      </c>
      <c r="N166" s="91">
        <v>0</v>
      </c>
      <c r="O166" s="29">
        <v>0</v>
      </c>
      <c r="P166" s="29">
        <v>0</v>
      </c>
      <c r="Q166" s="29">
        <v>0</v>
      </c>
      <c r="R166" s="29">
        <v>0</v>
      </c>
      <c r="S166" s="23" t="s">
        <v>20</v>
      </c>
    </row>
    <row r="167" spans="1:19" s="22" customFormat="1" ht="184.5" customHeight="1" x14ac:dyDescent="0.25">
      <c r="A167" s="23">
        <f t="shared" si="174"/>
        <v>130</v>
      </c>
      <c r="B167" s="48" t="s">
        <v>61</v>
      </c>
      <c r="C167" s="104">
        <f>SUM(E167:R167)</f>
        <v>190509</v>
      </c>
      <c r="D167" s="105"/>
      <c r="E167" s="29">
        <v>0</v>
      </c>
      <c r="F167" s="29">
        <v>0</v>
      </c>
      <c r="G167" s="29">
        <v>0</v>
      </c>
      <c r="H167" s="38">
        <f>H169</f>
        <v>190509</v>
      </c>
      <c r="I167" s="38">
        <f>I170</f>
        <v>0</v>
      </c>
      <c r="J167" s="29">
        <v>0</v>
      </c>
      <c r="K167" s="29">
        <f>SUM(K168:K170)</f>
        <v>0</v>
      </c>
      <c r="L167" s="29">
        <v>0</v>
      </c>
      <c r="M167" s="30">
        <v>0</v>
      </c>
      <c r="N167" s="91">
        <v>0</v>
      </c>
      <c r="O167" s="29">
        <v>0</v>
      </c>
      <c r="P167" s="29">
        <v>0</v>
      </c>
      <c r="Q167" s="29">
        <v>0</v>
      </c>
      <c r="R167" s="29">
        <v>0</v>
      </c>
      <c r="S167" s="23">
        <v>53</v>
      </c>
    </row>
    <row r="168" spans="1:19" s="22" customFormat="1" ht="16.5" x14ac:dyDescent="0.25">
      <c r="A168" s="23">
        <f t="shared" si="174"/>
        <v>131</v>
      </c>
      <c r="B168" s="33" t="s">
        <v>51</v>
      </c>
      <c r="C168" s="104">
        <f t="shared" ref="C168:C171" si="175">SUM(E168:R168)</f>
        <v>0</v>
      </c>
      <c r="D168" s="105"/>
      <c r="E168" s="29">
        <v>0</v>
      </c>
      <c r="F168" s="29">
        <v>0</v>
      </c>
      <c r="G168" s="29">
        <v>0</v>
      </c>
      <c r="H168" s="38">
        <v>0</v>
      </c>
      <c r="I168" s="38">
        <v>0</v>
      </c>
      <c r="J168" s="29">
        <v>0</v>
      </c>
      <c r="K168" s="29">
        <v>0</v>
      </c>
      <c r="L168" s="29">
        <v>0</v>
      </c>
      <c r="M168" s="30">
        <v>0</v>
      </c>
      <c r="N168" s="91">
        <v>0</v>
      </c>
      <c r="O168" s="29">
        <v>0</v>
      </c>
      <c r="P168" s="29">
        <v>0</v>
      </c>
      <c r="Q168" s="29">
        <v>0</v>
      </c>
      <c r="R168" s="29">
        <v>0</v>
      </c>
      <c r="S168" s="23" t="s">
        <v>27</v>
      </c>
    </row>
    <row r="169" spans="1:19" s="22" customFormat="1" ht="16.5" x14ac:dyDescent="0.25">
      <c r="A169" s="23">
        <f t="shared" si="174"/>
        <v>132</v>
      </c>
      <c r="B169" s="33" t="s">
        <v>23</v>
      </c>
      <c r="C169" s="104">
        <f t="shared" si="175"/>
        <v>190509</v>
      </c>
      <c r="D169" s="105"/>
      <c r="E169" s="29">
        <v>0</v>
      </c>
      <c r="F169" s="29">
        <v>0</v>
      </c>
      <c r="G169" s="29">
        <v>0</v>
      </c>
      <c r="H169" s="38">
        <v>190509</v>
      </c>
      <c r="I169" s="38">
        <v>0</v>
      </c>
      <c r="J169" s="29">
        <v>0</v>
      </c>
      <c r="K169" s="29">
        <v>0</v>
      </c>
      <c r="L169" s="29">
        <v>0</v>
      </c>
      <c r="M169" s="30">
        <v>0</v>
      </c>
      <c r="N169" s="91">
        <v>0</v>
      </c>
      <c r="O169" s="29">
        <v>0</v>
      </c>
      <c r="P169" s="29">
        <v>0</v>
      </c>
      <c r="Q169" s="29">
        <v>0</v>
      </c>
      <c r="R169" s="29">
        <v>0</v>
      </c>
      <c r="S169" s="23" t="s">
        <v>27</v>
      </c>
    </row>
    <row r="170" spans="1:19" s="22" customFormat="1" ht="16.5" x14ac:dyDescent="0.25">
      <c r="A170" s="23">
        <f t="shared" si="174"/>
        <v>133</v>
      </c>
      <c r="B170" s="33" t="s">
        <v>24</v>
      </c>
      <c r="C170" s="104">
        <f t="shared" si="175"/>
        <v>0</v>
      </c>
      <c r="D170" s="105"/>
      <c r="E170" s="29">
        <v>0</v>
      </c>
      <c r="F170" s="29">
        <v>0</v>
      </c>
      <c r="G170" s="29">
        <v>0</v>
      </c>
      <c r="H170" s="38">
        <v>0</v>
      </c>
      <c r="I170" s="38">
        <v>0</v>
      </c>
      <c r="J170" s="29">
        <v>0</v>
      </c>
      <c r="K170" s="29">
        <v>0</v>
      </c>
      <c r="L170" s="29">
        <v>0</v>
      </c>
      <c r="M170" s="30">
        <v>0</v>
      </c>
      <c r="N170" s="91">
        <v>0</v>
      </c>
      <c r="O170" s="29">
        <v>0</v>
      </c>
      <c r="P170" s="29">
        <v>0</v>
      </c>
      <c r="Q170" s="29">
        <v>0</v>
      </c>
      <c r="R170" s="29">
        <v>0</v>
      </c>
      <c r="S170" s="23" t="s">
        <v>27</v>
      </c>
    </row>
    <row r="171" spans="1:19" s="47" customFormat="1" ht="61.5" customHeight="1" x14ac:dyDescent="0.25">
      <c r="A171" s="23">
        <f t="shared" si="174"/>
        <v>134</v>
      </c>
      <c r="B171" s="48" t="s">
        <v>62</v>
      </c>
      <c r="C171" s="104">
        <f t="shared" si="175"/>
        <v>2037872.68</v>
      </c>
      <c r="D171" s="105"/>
      <c r="E171" s="28">
        <v>0</v>
      </c>
      <c r="F171" s="28">
        <v>0</v>
      </c>
      <c r="G171" s="28">
        <v>0</v>
      </c>
      <c r="H171" s="37">
        <f>H173</f>
        <v>0</v>
      </c>
      <c r="I171" s="37">
        <f>I174</f>
        <v>0</v>
      </c>
      <c r="J171" s="28">
        <v>0</v>
      </c>
      <c r="K171" s="28">
        <f>SUM(K172:K174)</f>
        <v>195474.15</v>
      </c>
      <c r="L171" s="28">
        <f>SUM(L172:L174)</f>
        <v>1809519.71</v>
      </c>
      <c r="M171" s="35">
        <f>SUM(M172:M174)</f>
        <v>32878.820000000007</v>
      </c>
      <c r="N171" s="92">
        <f>SUM(N172:N174)</f>
        <v>0</v>
      </c>
      <c r="O171" s="28">
        <f>SUM(O172:O174)</f>
        <v>0</v>
      </c>
      <c r="P171" s="28">
        <f t="shared" ref="P171:R171" si="176">SUM(P172:P174)</f>
        <v>0</v>
      </c>
      <c r="Q171" s="28">
        <f t="shared" si="176"/>
        <v>0</v>
      </c>
      <c r="R171" s="28">
        <f t="shared" si="176"/>
        <v>0</v>
      </c>
      <c r="S171" s="34">
        <v>27.28</v>
      </c>
    </row>
    <row r="172" spans="1:19" s="22" customFormat="1" ht="16.5" x14ac:dyDescent="0.25">
      <c r="A172" s="23">
        <f t="shared" si="174"/>
        <v>135</v>
      </c>
      <c r="B172" s="33" t="s">
        <v>51</v>
      </c>
      <c r="C172" s="104">
        <f t="shared" ref="C172:C178" si="177">SUM(E172:R172)</f>
        <v>0</v>
      </c>
      <c r="D172" s="105"/>
      <c r="E172" s="29">
        <v>0</v>
      </c>
      <c r="F172" s="29">
        <v>0</v>
      </c>
      <c r="G172" s="29">
        <v>0</v>
      </c>
      <c r="H172" s="38">
        <v>0</v>
      </c>
      <c r="I172" s="38">
        <v>0</v>
      </c>
      <c r="J172" s="29">
        <v>0</v>
      </c>
      <c r="K172" s="29">
        <v>0</v>
      </c>
      <c r="L172" s="29">
        <v>0</v>
      </c>
      <c r="M172" s="30">
        <v>0</v>
      </c>
      <c r="N172" s="91">
        <v>0</v>
      </c>
      <c r="O172" s="29">
        <v>0</v>
      </c>
      <c r="P172" s="29">
        <v>0</v>
      </c>
      <c r="Q172" s="29">
        <v>0</v>
      </c>
      <c r="R172" s="29">
        <v>0</v>
      </c>
      <c r="S172" s="23" t="s">
        <v>27</v>
      </c>
    </row>
    <row r="173" spans="1:19" s="22" customFormat="1" ht="16.5" x14ac:dyDescent="0.25">
      <c r="A173" s="23">
        <f t="shared" si="174"/>
        <v>136</v>
      </c>
      <c r="B173" s="33" t="s">
        <v>23</v>
      </c>
      <c r="C173" s="104">
        <f t="shared" si="177"/>
        <v>0</v>
      </c>
      <c r="D173" s="105"/>
      <c r="E173" s="29">
        <v>0</v>
      </c>
      <c r="F173" s="29">
        <v>0</v>
      </c>
      <c r="G173" s="29">
        <v>0</v>
      </c>
      <c r="H173" s="38">
        <v>0</v>
      </c>
      <c r="I173" s="38">
        <v>0</v>
      </c>
      <c r="J173" s="29">
        <v>0</v>
      </c>
      <c r="K173" s="29">
        <v>0</v>
      </c>
      <c r="L173" s="29">
        <v>0</v>
      </c>
      <c r="M173" s="30">
        <v>0</v>
      </c>
      <c r="N173" s="91">
        <v>0</v>
      </c>
      <c r="O173" s="29">
        <v>0</v>
      </c>
      <c r="P173" s="29">
        <v>0</v>
      </c>
      <c r="Q173" s="29">
        <v>0</v>
      </c>
      <c r="R173" s="29">
        <v>0</v>
      </c>
      <c r="S173" s="23" t="s">
        <v>27</v>
      </c>
    </row>
    <row r="174" spans="1:19" s="22" customFormat="1" ht="16.5" x14ac:dyDescent="0.25">
      <c r="A174" s="23">
        <f t="shared" si="174"/>
        <v>137</v>
      </c>
      <c r="B174" s="33" t="s">
        <v>24</v>
      </c>
      <c r="C174" s="104">
        <f t="shared" si="177"/>
        <v>2037872.68</v>
      </c>
      <c r="D174" s="105"/>
      <c r="E174" s="29">
        <v>0</v>
      </c>
      <c r="F174" s="29">
        <v>0</v>
      </c>
      <c r="G174" s="29">
        <v>0</v>
      </c>
      <c r="H174" s="38">
        <v>0</v>
      </c>
      <c r="I174" s="38">
        <v>0</v>
      </c>
      <c r="J174" s="29">
        <v>0</v>
      </c>
      <c r="K174" s="29">
        <f>377000-181525.85</f>
        <v>195474.15</v>
      </c>
      <c r="L174" s="29">
        <v>1809519.71</v>
      </c>
      <c r="M174" s="30">
        <f>185000-152121.18</f>
        <v>32878.820000000007</v>
      </c>
      <c r="N174" s="91">
        <v>0</v>
      </c>
      <c r="O174" s="29">
        <v>0</v>
      </c>
      <c r="P174" s="29">
        <v>0</v>
      </c>
      <c r="Q174" s="29">
        <v>0</v>
      </c>
      <c r="R174" s="29">
        <v>0</v>
      </c>
      <c r="S174" s="23" t="s">
        <v>27</v>
      </c>
    </row>
    <row r="175" spans="1:19" s="47" customFormat="1" ht="166.5" customHeight="1" x14ac:dyDescent="0.25">
      <c r="A175" s="23">
        <f t="shared" si="174"/>
        <v>138</v>
      </c>
      <c r="B175" s="48" t="s">
        <v>63</v>
      </c>
      <c r="C175" s="104">
        <f t="shared" si="177"/>
        <v>200600</v>
      </c>
      <c r="D175" s="105"/>
      <c r="E175" s="28">
        <v>0</v>
      </c>
      <c r="F175" s="28">
        <v>0</v>
      </c>
      <c r="G175" s="28">
        <v>0</v>
      </c>
      <c r="H175" s="37">
        <f>H177</f>
        <v>0</v>
      </c>
      <c r="I175" s="37">
        <f>I178</f>
        <v>0</v>
      </c>
      <c r="J175" s="28">
        <v>0</v>
      </c>
      <c r="K175" s="28">
        <f>SUM(K176:K178)</f>
        <v>200600</v>
      </c>
      <c r="L175" s="28">
        <v>0</v>
      </c>
      <c r="M175" s="35">
        <v>0</v>
      </c>
      <c r="N175" s="92">
        <v>0</v>
      </c>
      <c r="O175" s="28">
        <v>0</v>
      </c>
      <c r="P175" s="28">
        <v>0</v>
      </c>
      <c r="Q175" s="28">
        <v>0</v>
      </c>
      <c r="R175" s="28">
        <v>0</v>
      </c>
      <c r="S175" s="34" t="s">
        <v>71</v>
      </c>
    </row>
    <row r="176" spans="1:19" s="22" customFormat="1" ht="16.5" x14ac:dyDescent="0.25">
      <c r="A176" s="23">
        <f t="shared" si="174"/>
        <v>139</v>
      </c>
      <c r="B176" s="33" t="s">
        <v>51</v>
      </c>
      <c r="C176" s="104">
        <f t="shared" si="177"/>
        <v>0</v>
      </c>
      <c r="D176" s="105"/>
      <c r="E176" s="29">
        <v>0</v>
      </c>
      <c r="F176" s="29">
        <v>0</v>
      </c>
      <c r="G176" s="29">
        <v>0</v>
      </c>
      <c r="H176" s="38">
        <v>0</v>
      </c>
      <c r="I176" s="38">
        <v>0</v>
      </c>
      <c r="J176" s="29">
        <v>0</v>
      </c>
      <c r="K176" s="29">
        <v>0</v>
      </c>
      <c r="L176" s="29">
        <v>0</v>
      </c>
      <c r="M176" s="30">
        <v>0</v>
      </c>
      <c r="N176" s="91">
        <v>0</v>
      </c>
      <c r="O176" s="29">
        <v>0</v>
      </c>
      <c r="P176" s="29">
        <v>0</v>
      </c>
      <c r="Q176" s="29">
        <v>0</v>
      </c>
      <c r="R176" s="29">
        <v>0</v>
      </c>
      <c r="S176" s="23" t="s">
        <v>27</v>
      </c>
    </row>
    <row r="177" spans="1:19" s="22" customFormat="1" ht="16.5" x14ac:dyDescent="0.25">
      <c r="A177" s="23">
        <f t="shared" si="174"/>
        <v>140</v>
      </c>
      <c r="B177" s="33" t="s">
        <v>23</v>
      </c>
      <c r="C177" s="104">
        <f t="shared" si="177"/>
        <v>200600</v>
      </c>
      <c r="D177" s="105"/>
      <c r="E177" s="29">
        <v>0</v>
      </c>
      <c r="F177" s="29">
        <v>0</v>
      </c>
      <c r="G177" s="29">
        <v>0</v>
      </c>
      <c r="H177" s="38">
        <v>0</v>
      </c>
      <c r="I177" s="38">
        <v>0</v>
      </c>
      <c r="J177" s="29">
        <v>0</v>
      </c>
      <c r="K177" s="29">
        <f>180600+20000</f>
        <v>200600</v>
      </c>
      <c r="L177" s="29">
        <v>0</v>
      </c>
      <c r="M177" s="30">
        <v>0</v>
      </c>
      <c r="N177" s="91">
        <v>0</v>
      </c>
      <c r="O177" s="29">
        <v>0</v>
      </c>
      <c r="P177" s="29">
        <v>0</v>
      </c>
      <c r="Q177" s="29">
        <v>0</v>
      </c>
      <c r="R177" s="29">
        <v>0</v>
      </c>
      <c r="S177" s="23" t="s">
        <v>27</v>
      </c>
    </row>
    <row r="178" spans="1:19" s="22" customFormat="1" ht="16.5" x14ac:dyDescent="0.25">
      <c r="A178" s="23">
        <f t="shared" si="174"/>
        <v>141</v>
      </c>
      <c r="B178" s="33" t="s">
        <v>24</v>
      </c>
      <c r="C178" s="104">
        <f t="shared" si="177"/>
        <v>0</v>
      </c>
      <c r="D178" s="105"/>
      <c r="E178" s="29">
        <v>0</v>
      </c>
      <c r="F178" s="29">
        <v>0</v>
      </c>
      <c r="G178" s="29">
        <v>0</v>
      </c>
      <c r="H178" s="38">
        <v>0</v>
      </c>
      <c r="I178" s="38">
        <v>0</v>
      </c>
      <c r="J178" s="29">
        <v>0</v>
      </c>
      <c r="K178" s="29">
        <v>0</v>
      </c>
      <c r="L178" s="29">
        <v>0</v>
      </c>
      <c r="M178" s="30">
        <v>0</v>
      </c>
      <c r="N178" s="91">
        <v>0</v>
      </c>
      <c r="O178" s="29">
        <v>0</v>
      </c>
      <c r="P178" s="29">
        <v>0</v>
      </c>
      <c r="Q178" s="29">
        <v>0</v>
      </c>
      <c r="R178" s="29">
        <v>0</v>
      </c>
      <c r="S178" s="23" t="s">
        <v>27</v>
      </c>
    </row>
    <row r="179" spans="1:19" s="47" customFormat="1" ht="100.5" customHeight="1" x14ac:dyDescent="0.25">
      <c r="A179" s="23">
        <f t="shared" si="174"/>
        <v>142</v>
      </c>
      <c r="B179" s="48" t="s">
        <v>64</v>
      </c>
      <c r="C179" s="104">
        <f t="shared" ref="C179:C185" si="178">SUM(E179:R179)</f>
        <v>3259475.18</v>
      </c>
      <c r="D179" s="105"/>
      <c r="E179" s="28">
        <v>0</v>
      </c>
      <c r="F179" s="28">
        <v>0</v>
      </c>
      <c r="G179" s="28">
        <v>0</v>
      </c>
      <c r="H179" s="37">
        <f>H181</f>
        <v>0</v>
      </c>
      <c r="I179" s="37">
        <f>I182</f>
        <v>0</v>
      </c>
      <c r="J179" s="28">
        <v>0</v>
      </c>
      <c r="K179" s="28">
        <f>SUM(K180:K182)</f>
        <v>2091824</v>
      </c>
      <c r="L179" s="28">
        <f>SUM(L180:L182)</f>
        <v>715530</v>
      </c>
      <c r="M179" s="35">
        <f>SUM(M180:M182)</f>
        <v>452121.18</v>
      </c>
      <c r="N179" s="92">
        <f>SUM(N180:N182)</f>
        <v>0</v>
      </c>
      <c r="O179" s="28">
        <f>SUM(O180:O182)</f>
        <v>0</v>
      </c>
      <c r="P179" s="28">
        <f t="shared" ref="P179:R179" si="179">SUM(P180:P182)</f>
        <v>0</v>
      </c>
      <c r="Q179" s="28">
        <f t="shared" si="179"/>
        <v>0</v>
      </c>
      <c r="R179" s="28">
        <f t="shared" si="179"/>
        <v>0</v>
      </c>
      <c r="S179" s="101" t="s">
        <v>115</v>
      </c>
    </row>
    <row r="180" spans="1:19" s="22" customFormat="1" ht="16.5" x14ac:dyDescent="0.25">
      <c r="A180" s="23">
        <f t="shared" si="174"/>
        <v>143</v>
      </c>
      <c r="B180" s="33" t="s">
        <v>51</v>
      </c>
      <c r="C180" s="104">
        <f t="shared" si="178"/>
        <v>0</v>
      </c>
      <c r="D180" s="105"/>
      <c r="E180" s="29">
        <v>0</v>
      </c>
      <c r="F180" s="29">
        <v>0</v>
      </c>
      <c r="G180" s="29">
        <v>0</v>
      </c>
      <c r="H180" s="38">
        <v>0</v>
      </c>
      <c r="I180" s="38">
        <v>0</v>
      </c>
      <c r="J180" s="29">
        <v>0</v>
      </c>
      <c r="K180" s="29">
        <v>0</v>
      </c>
      <c r="L180" s="29">
        <v>0</v>
      </c>
      <c r="M180" s="30">
        <v>0</v>
      </c>
      <c r="N180" s="91">
        <v>0</v>
      </c>
      <c r="O180" s="29">
        <v>0</v>
      </c>
      <c r="P180" s="29">
        <v>0</v>
      </c>
      <c r="Q180" s="29">
        <v>0</v>
      </c>
      <c r="R180" s="29">
        <v>0</v>
      </c>
      <c r="S180" s="23" t="s">
        <v>27</v>
      </c>
    </row>
    <row r="181" spans="1:19" s="22" customFormat="1" ht="16.5" x14ac:dyDescent="0.25">
      <c r="A181" s="23">
        <f t="shared" si="174"/>
        <v>144</v>
      </c>
      <c r="B181" s="33" t="s">
        <v>23</v>
      </c>
      <c r="C181" s="104">
        <f t="shared" si="178"/>
        <v>0</v>
      </c>
      <c r="D181" s="105"/>
      <c r="E181" s="29">
        <v>0</v>
      </c>
      <c r="F181" s="29">
        <v>0</v>
      </c>
      <c r="G181" s="29">
        <v>0</v>
      </c>
      <c r="H181" s="38">
        <v>0</v>
      </c>
      <c r="I181" s="38">
        <v>0</v>
      </c>
      <c r="J181" s="29">
        <v>0</v>
      </c>
      <c r="K181" s="29">
        <v>0</v>
      </c>
      <c r="L181" s="29">
        <v>0</v>
      </c>
      <c r="M181" s="30">
        <v>0</v>
      </c>
      <c r="N181" s="91">
        <v>0</v>
      </c>
      <c r="O181" s="29">
        <v>0</v>
      </c>
      <c r="P181" s="29">
        <v>0</v>
      </c>
      <c r="Q181" s="29">
        <v>0</v>
      </c>
      <c r="R181" s="29">
        <v>0</v>
      </c>
      <c r="S181" s="23" t="s">
        <v>27</v>
      </c>
    </row>
    <row r="182" spans="1:19" s="22" customFormat="1" ht="16.5" x14ac:dyDescent="0.25">
      <c r="A182" s="23">
        <f t="shared" si="174"/>
        <v>145</v>
      </c>
      <c r="B182" s="33" t="s">
        <v>24</v>
      </c>
      <c r="C182" s="104">
        <f t="shared" si="178"/>
        <v>3259475.18</v>
      </c>
      <c r="D182" s="105"/>
      <c r="E182" s="29">
        <v>0</v>
      </c>
      <c r="F182" s="29">
        <v>0</v>
      </c>
      <c r="G182" s="29">
        <v>0</v>
      </c>
      <c r="H182" s="38">
        <v>0</v>
      </c>
      <c r="I182" s="38">
        <v>0</v>
      </c>
      <c r="J182" s="29">
        <v>0</v>
      </c>
      <c r="K182" s="29">
        <f>455824+1636000</f>
        <v>2091824</v>
      </c>
      <c r="L182" s="29">
        <v>715530</v>
      </c>
      <c r="M182" s="30">
        <f>300000+152121.18</f>
        <v>452121.18</v>
      </c>
      <c r="N182" s="91">
        <v>0</v>
      </c>
      <c r="O182" s="29">
        <v>0</v>
      </c>
      <c r="P182" s="29">
        <v>0</v>
      </c>
      <c r="Q182" s="29">
        <v>0</v>
      </c>
      <c r="R182" s="29">
        <v>0</v>
      </c>
      <c r="S182" s="23" t="s">
        <v>27</v>
      </c>
    </row>
    <row r="183" spans="1:19" s="47" customFormat="1" ht="72.75" customHeight="1" x14ac:dyDescent="0.25">
      <c r="A183" s="23">
        <f t="shared" si="174"/>
        <v>146</v>
      </c>
      <c r="B183" s="48" t="s">
        <v>65</v>
      </c>
      <c r="C183" s="104">
        <f t="shared" si="178"/>
        <v>0</v>
      </c>
      <c r="D183" s="105"/>
      <c r="E183" s="28">
        <v>0</v>
      </c>
      <c r="F183" s="28">
        <v>0</v>
      </c>
      <c r="G183" s="28">
        <v>0</v>
      </c>
      <c r="H183" s="37">
        <f>H185</f>
        <v>0</v>
      </c>
      <c r="I183" s="37">
        <f>I186</f>
        <v>0</v>
      </c>
      <c r="J183" s="28">
        <v>0</v>
      </c>
      <c r="K183" s="28">
        <f>SUM(K184:K186)</f>
        <v>0</v>
      </c>
      <c r="L183" s="28">
        <f>SUM(L184:L186)</f>
        <v>0</v>
      </c>
      <c r="M183" s="35">
        <f>SUM(M184:M186)</f>
        <v>0</v>
      </c>
      <c r="N183" s="92">
        <f>SUM(N184:N186)</f>
        <v>0</v>
      </c>
      <c r="O183" s="28">
        <f>SUM(O184:O186)</f>
        <v>0</v>
      </c>
      <c r="P183" s="28">
        <f t="shared" ref="P183:R183" si="180">SUM(P184:P186)</f>
        <v>0</v>
      </c>
      <c r="Q183" s="28">
        <f t="shared" si="180"/>
        <v>0</v>
      </c>
      <c r="R183" s="28">
        <f t="shared" si="180"/>
        <v>0</v>
      </c>
      <c r="S183" s="34">
        <v>72</v>
      </c>
    </row>
    <row r="184" spans="1:19" s="22" customFormat="1" ht="16.5" x14ac:dyDescent="0.25">
      <c r="A184" s="23">
        <f t="shared" si="174"/>
        <v>147</v>
      </c>
      <c r="B184" s="33" t="s">
        <v>51</v>
      </c>
      <c r="C184" s="104">
        <f t="shared" si="178"/>
        <v>0</v>
      </c>
      <c r="D184" s="105"/>
      <c r="E184" s="29">
        <v>0</v>
      </c>
      <c r="F184" s="29">
        <v>0</v>
      </c>
      <c r="G184" s="29">
        <v>0</v>
      </c>
      <c r="H184" s="38">
        <v>0</v>
      </c>
      <c r="I184" s="38">
        <v>0</v>
      </c>
      <c r="J184" s="29">
        <v>0</v>
      </c>
      <c r="K184" s="29">
        <v>0</v>
      </c>
      <c r="L184" s="29">
        <v>0</v>
      </c>
      <c r="M184" s="30">
        <v>0</v>
      </c>
      <c r="N184" s="91">
        <v>0</v>
      </c>
      <c r="O184" s="29">
        <v>0</v>
      </c>
      <c r="P184" s="29">
        <v>0</v>
      </c>
      <c r="Q184" s="29">
        <v>0</v>
      </c>
      <c r="R184" s="29">
        <v>0</v>
      </c>
      <c r="S184" s="23" t="s">
        <v>27</v>
      </c>
    </row>
    <row r="185" spans="1:19" s="22" customFormat="1" ht="16.5" x14ac:dyDescent="0.25">
      <c r="A185" s="23">
        <f t="shared" si="174"/>
        <v>148</v>
      </c>
      <c r="B185" s="33" t="s">
        <v>23</v>
      </c>
      <c r="C185" s="104">
        <f t="shared" si="178"/>
        <v>0</v>
      </c>
      <c r="D185" s="105"/>
      <c r="E185" s="29">
        <v>0</v>
      </c>
      <c r="F185" s="29">
        <v>0</v>
      </c>
      <c r="G185" s="29">
        <v>0</v>
      </c>
      <c r="H185" s="38">
        <v>0</v>
      </c>
      <c r="I185" s="38">
        <v>0</v>
      </c>
      <c r="J185" s="29">
        <v>0</v>
      </c>
      <c r="K185" s="29">
        <v>0</v>
      </c>
      <c r="L185" s="29">
        <v>0</v>
      </c>
      <c r="M185" s="30">
        <v>0</v>
      </c>
      <c r="N185" s="91">
        <v>0</v>
      </c>
      <c r="O185" s="29">
        <v>0</v>
      </c>
      <c r="P185" s="29">
        <v>0</v>
      </c>
      <c r="Q185" s="29">
        <v>0</v>
      </c>
      <c r="R185" s="29">
        <v>0</v>
      </c>
      <c r="S185" s="23" t="s">
        <v>27</v>
      </c>
    </row>
    <row r="186" spans="1:19" s="22" customFormat="1" ht="16.5" x14ac:dyDescent="0.25">
      <c r="A186" s="23">
        <f t="shared" si="174"/>
        <v>149</v>
      </c>
      <c r="B186" s="33" t="s">
        <v>24</v>
      </c>
      <c r="C186" s="104">
        <f>SUM(E186:R186)</f>
        <v>0</v>
      </c>
      <c r="D186" s="105"/>
      <c r="E186" s="29">
        <v>0</v>
      </c>
      <c r="F186" s="29">
        <v>0</v>
      </c>
      <c r="G186" s="29">
        <v>0</v>
      </c>
      <c r="H186" s="38">
        <v>0</v>
      </c>
      <c r="I186" s="38">
        <v>0</v>
      </c>
      <c r="J186" s="29">
        <v>0</v>
      </c>
      <c r="K186" s="29">
        <v>0</v>
      </c>
      <c r="L186" s="29">
        <v>0</v>
      </c>
      <c r="M186" s="30">
        <v>0</v>
      </c>
      <c r="N186" s="91">
        <v>0</v>
      </c>
      <c r="O186" s="29">
        <v>0</v>
      </c>
      <c r="P186" s="29">
        <v>0</v>
      </c>
      <c r="Q186" s="29">
        <v>0</v>
      </c>
      <c r="R186" s="29">
        <v>0</v>
      </c>
      <c r="S186" s="23" t="s">
        <v>27</v>
      </c>
    </row>
    <row r="187" spans="1:19" s="47" customFormat="1" ht="151.5" customHeight="1" x14ac:dyDescent="0.25">
      <c r="A187" s="23">
        <f t="shared" si="174"/>
        <v>150</v>
      </c>
      <c r="B187" s="48" t="s">
        <v>100</v>
      </c>
      <c r="C187" s="104">
        <f t="shared" ref="C187:C189" si="181">SUM(E187:R187)</f>
        <v>150000</v>
      </c>
      <c r="D187" s="105"/>
      <c r="E187" s="28">
        <v>0</v>
      </c>
      <c r="F187" s="28">
        <v>0</v>
      </c>
      <c r="G187" s="28">
        <v>0</v>
      </c>
      <c r="H187" s="37">
        <f>H189</f>
        <v>0</v>
      </c>
      <c r="I187" s="37">
        <f>I190</f>
        <v>0</v>
      </c>
      <c r="J187" s="28">
        <v>0</v>
      </c>
      <c r="K187" s="28">
        <f>SUM(K188:K190)</f>
        <v>0</v>
      </c>
      <c r="L187" s="28">
        <f>SUM(L188:L190)</f>
        <v>0</v>
      </c>
      <c r="M187" s="35">
        <f>SUM(M188:M190)</f>
        <v>0</v>
      </c>
      <c r="N187" s="92">
        <f>SUM(N188:N190)</f>
        <v>0</v>
      </c>
      <c r="O187" s="28">
        <f>SUM(O188:O190)</f>
        <v>150000</v>
      </c>
      <c r="P187" s="28">
        <f t="shared" ref="P187:R187" si="182">SUM(P188:P190)</f>
        <v>0</v>
      </c>
      <c r="Q187" s="28">
        <f t="shared" si="182"/>
        <v>0</v>
      </c>
      <c r="R187" s="28">
        <f t="shared" si="182"/>
        <v>0</v>
      </c>
      <c r="S187" s="101" t="s">
        <v>115</v>
      </c>
    </row>
    <row r="188" spans="1:19" s="22" customFormat="1" ht="16.5" x14ac:dyDescent="0.25">
      <c r="A188" s="23">
        <f t="shared" si="174"/>
        <v>151</v>
      </c>
      <c r="B188" s="33" t="s">
        <v>51</v>
      </c>
      <c r="C188" s="104">
        <f t="shared" si="181"/>
        <v>0</v>
      </c>
      <c r="D188" s="105"/>
      <c r="E188" s="29">
        <v>0</v>
      </c>
      <c r="F188" s="29">
        <v>0</v>
      </c>
      <c r="G188" s="29">
        <v>0</v>
      </c>
      <c r="H188" s="38">
        <v>0</v>
      </c>
      <c r="I188" s="38">
        <v>0</v>
      </c>
      <c r="J188" s="29">
        <v>0</v>
      </c>
      <c r="K188" s="29">
        <v>0</v>
      </c>
      <c r="L188" s="29">
        <v>0</v>
      </c>
      <c r="M188" s="30">
        <v>0</v>
      </c>
      <c r="N188" s="91">
        <v>0</v>
      </c>
      <c r="O188" s="29">
        <v>0</v>
      </c>
      <c r="P188" s="29">
        <v>0</v>
      </c>
      <c r="Q188" s="29">
        <v>0</v>
      </c>
      <c r="R188" s="29">
        <v>0</v>
      </c>
      <c r="S188" s="23" t="s">
        <v>27</v>
      </c>
    </row>
    <row r="189" spans="1:19" s="22" customFormat="1" ht="16.5" x14ac:dyDescent="0.25">
      <c r="A189" s="23">
        <f t="shared" si="174"/>
        <v>152</v>
      </c>
      <c r="B189" s="33" t="s">
        <v>23</v>
      </c>
      <c r="C189" s="104">
        <f t="shared" si="181"/>
        <v>0</v>
      </c>
      <c r="D189" s="105"/>
      <c r="E189" s="29">
        <v>0</v>
      </c>
      <c r="F189" s="29">
        <v>0</v>
      </c>
      <c r="G189" s="29">
        <v>0</v>
      </c>
      <c r="H189" s="38">
        <v>0</v>
      </c>
      <c r="I189" s="38">
        <v>0</v>
      </c>
      <c r="J189" s="29">
        <v>0</v>
      </c>
      <c r="K189" s="29">
        <v>0</v>
      </c>
      <c r="L189" s="29">
        <v>0</v>
      </c>
      <c r="M189" s="30">
        <v>0</v>
      </c>
      <c r="N189" s="91">
        <v>0</v>
      </c>
      <c r="O189" s="29">
        <v>0</v>
      </c>
      <c r="P189" s="29">
        <v>0</v>
      </c>
      <c r="Q189" s="29">
        <v>0</v>
      </c>
      <c r="R189" s="29">
        <v>0</v>
      </c>
      <c r="S189" s="23" t="s">
        <v>27</v>
      </c>
    </row>
    <row r="190" spans="1:19" s="22" customFormat="1" ht="16.5" x14ac:dyDescent="0.25">
      <c r="A190" s="23">
        <f t="shared" si="174"/>
        <v>153</v>
      </c>
      <c r="B190" s="33" t="s">
        <v>24</v>
      </c>
      <c r="C190" s="104">
        <f>SUM(E190:R190)</f>
        <v>150000</v>
      </c>
      <c r="D190" s="105"/>
      <c r="E190" s="29">
        <v>0</v>
      </c>
      <c r="F190" s="29">
        <v>0</v>
      </c>
      <c r="G190" s="29">
        <v>0</v>
      </c>
      <c r="H190" s="38">
        <v>0</v>
      </c>
      <c r="I190" s="38">
        <v>0</v>
      </c>
      <c r="J190" s="29">
        <v>0</v>
      </c>
      <c r="K190" s="29">
        <v>0</v>
      </c>
      <c r="L190" s="29">
        <v>0</v>
      </c>
      <c r="M190" s="30">
        <v>0</v>
      </c>
      <c r="N190" s="91">
        <v>0</v>
      </c>
      <c r="O190" s="29">
        <f>93000+57000</f>
        <v>150000</v>
      </c>
      <c r="P190" s="29">
        <v>0</v>
      </c>
      <c r="Q190" s="29">
        <v>0</v>
      </c>
      <c r="R190" s="29">
        <v>0</v>
      </c>
      <c r="S190" s="23" t="s">
        <v>27</v>
      </c>
    </row>
    <row r="191" spans="1:19" s="22" customFormat="1" ht="26.25" customHeight="1" x14ac:dyDescent="0.25">
      <c r="A191" s="119" t="s">
        <v>66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1"/>
    </row>
    <row r="192" spans="1:19" s="22" customFormat="1" ht="67.5" customHeight="1" x14ac:dyDescent="0.25">
      <c r="A192" s="23">
        <f>A190+1</f>
        <v>154</v>
      </c>
      <c r="B192" s="119" t="s">
        <v>67</v>
      </c>
      <c r="C192" s="121"/>
      <c r="D192" s="28">
        <f>SUM(E192:R192)</f>
        <v>795705</v>
      </c>
      <c r="E192" s="28">
        <f t="shared" ref="E192:O192" si="183">SUM(E193:E196)</f>
        <v>143000</v>
      </c>
      <c r="F192" s="28">
        <f t="shared" si="183"/>
        <v>182960</v>
      </c>
      <c r="G192" s="28">
        <f t="shared" si="183"/>
        <v>55500</v>
      </c>
      <c r="H192" s="37">
        <f t="shared" si="183"/>
        <v>31388</v>
      </c>
      <c r="I192" s="37">
        <f t="shared" si="183"/>
        <v>71727</v>
      </c>
      <c r="J192" s="28">
        <f t="shared" si="183"/>
        <v>54000</v>
      </c>
      <c r="K192" s="28">
        <f t="shared" si="183"/>
        <v>26000</v>
      </c>
      <c r="L192" s="28">
        <f t="shared" si="183"/>
        <v>54000</v>
      </c>
      <c r="M192" s="35">
        <f t="shared" si="183"/>
        <v>27000</v>
      </c>
      <c r="N192" s="92">
        <f t="shared" si="183"/>
        <v>31000</v>
      </c>
      <c r="O192" s="28">
        <f t="shared" si="183"/>
        <v>40000</v>
      </c>
      <c r="P192" s="28">
        <f t="shared" ref="P192:R192" si="184">SUM(P193:P196)</f>
        <v>40560</v>
      </c>
      <c r="Q192" s="28">
        <f t="shared" si="184"/>
        <v>38570</v>
      </c>
      <c r="R192" s="28">
        <f t="shared" si="184"/>
        <v>0</v>
      </c>
      <c r="S192" s="23" t="s">
        <v>27</v>
      </c>
    </row>
    <row r="193" spans="1:19" s="22" customFormat="1" ht="16.5" x14ac:dyDescent="0.25">
      <c r="A193" s="23">
        <f>A192+1</f>
        <v>155</v>
      </c>
      <c r="B193" s="111" t="s">
        <v>22</v>
      </c>
      <c r="C193" s="112"/>
      <c r="D193" s="28">
        <f t="shared" ref="D193:D196" si="185">SUM(E193:R193)</f>
        <v>0</v>
      </c>
      <c r="E193" s="29">
        <f t="shared" ref="E193:K196" si="186">E199</f>
        <v>0</v>
      </c>
      <c r="F193" s="29">
        <f t="shared" si="186"/>
        <v>0</v>
      </c>
      <c r="G193" s="29">
        <f t="shared" si="186"/>
        <v>0</v>
      </c>
      <c r="H193" s="38">
        <f t="shared" si="186"/>
        <v>0</v>
      </c>
      <c r="I193" s="38">
        <f t="shared" si="186"/>
        <v>0</v>
      </c>
      <c r="J193" s="29">
        <f t="shared" si="186"/>
        <v>0</v>
      </c>
      <c r="K193" s="29">
        <f t="shared" si="186"/>
        <v>0</v>
      </c>
      <c r="L193" s="29">
        <v>0</v>
      </c>
      <c r="M193" s="30">
        <v>0</v>
      </c>
      <c r="N193" s="91">
        <v>0</v>
      </c>
      <c r="O193" s="29">
        <v>0</v>
      </c>
      <c r="P193" s="29">
        <v>0</v>
      </c>
      <c r="Q193" s="29">
        <v>0</v>
      </c>
      <c r="R193" s="29">
        <v>0</v>
      </c>
      <c r="S193" s="23" t="s">
        <v>27</v>
      </c>
    </row>
    <row r="194" spans="1:19" s="22" customFormat="1" ht="16.5" x14ac:dyDescent="0.25">
      <c r="A194" s="23">
        <f>A193+1</f>
        <v>156</v>
      </c>
      <c r="B194" s="111" t="s">
        <v>23</v>
      </c>
      <c r="C194" s="112"/>
      <c r="D194" s="28">
        <f t="shared" si="185"/>
        <v>111000</v>
      </c>
      <c r="E194" s="29">
        <f t="shared" si="186"/>
        <v>0</v>
      </c>
      <c r="F194" s="29">
        <f t="shared" si="186"/>
        <v>91000</v>
      </c>
      <c r="G194" s="29">
        <f t="shared" si="186"/>
        <v>0</v>
      </c>
      <c r="H194" s="38">
        <f t="shared" si="186"/>
        <v>0</v>
      </c>
      <c r="I194" s="38">
        <f t="shared" si="186"/>
        <v>20000</v>
      </c>
      <c r="J194" s="29">
        <f t="shared" si="186"/>
        <v>0</v>
      </c>
      <c r="K194" s="29">
        <f t="shared" si="186"/>
        <v>0</v>
      </c>
      <c r="L194" s="29">
        <v>0</v>
      </c>
      <c r="M194" s="30">
        <v>0</v>
      </c>
      <c r="N194" s="91">
        <v>0</v>
      </c>
      <c r="O194" s="29">
        <v>0</v>
      </c>
      <c r="P194" s="29">
        <v>0</v>
      </c>
      <c r="Q194" s="29">
        <v>0</v>
      </c>
      <c r="R194" s="29">
        <v>0</v>
      </c>
      <c r="S194" s="23" t="s">
        <v>27</v>
      </c>
    </row>
    <row r="195" spans="1:19" s="22" customFormat="1" ht="16.5" x14ac:dyDescent="0.25">
      <c r="A195" s="23">
        <f>A194+1</f>
        <v>157</v>
      </c>
      <c r="B195" s="111" t="s">
        <v>24</v>
      </c>
      <c r="C195" s="112"/>
      <c r="D195" s="28">
        <f t="shared" si="185"/>
        <v>684705</v>
      </c>
      <c r="E195" s="29">
        <f t="shared" si="186"/>
        <v>143000</v>
      </c>
      <c r="F195" s="29">
        <f t="shared" si="186"/>
        <v>91960</v>
      </c>
      <c r="G195" s="29">
        <f t="shared" si="186"/>
        <v>55500</v>
      </c>
      <c r="H195" s="38">
        <f t="shared" si="186"/>
        <v>31388</v>
      </c>
      <c r="I195" s="38">
        <f t="shared" si="186"/>
        <v>51727</v>
      </c>
      <c r="J195" s="29">
        <f t="shared" si="186"/>
        <v>54000</v>
      </c>
      <c r="K195" s="29">
        <f t="shared" si="186"/>
        <v>26000</v>
      </c>
      <c r="L195" s="29">
        <f>L201</f>
        <v>54000</v>
      </c>
      <c r="M195" s="30">
        <f>M201</f>
        <v>27000</v>
      </c>
      <c r="N195" s="91">
        <f>N201</f>
        <v>31000</v>
      </c>
      <c r="O195" s="29">
        <f>O201</f>
        <v>40000</v>
      </c>
      <c r="P195" s="29">
        <f t="shared" ref="P195:R195" si="187">P201</f>
        <v>40560</v>
      </c>
      <c r="Q195" s="29">
        <f t="shared" si="187"/>
        <v>38570</v>
      </c>
      <c r="R195" s="29">
        <f t="shared" si="187"/>
        <v>0</v>
      </c>
      <c r="S195" s="23" t="s">
        <v>27</v>
      </c>
    </row>
    <row r="196" spans="1:19" s="22" customFormat="1" ht="16.5" x14ac:dyDescent="0.25">
      <c r="A196" s="23">
        <f>A195+1</f>
        <v>158</v>
      </c>
      <c r="B196" s="111" t="s">
        <v>25</v>
      </c>
      <c r="C196" s="112"/>
      <c r="D196" s="28">
        <f t="shared" si="185"/>
        <v>0</v>
      </c>
      <c r="E196" s="29">
        <f t="shared" si="186"/>
        <v>0</v>
      </c>
      <c r="F196" s="29">
        <f t="shared" si="186"/>
        <v>0</v>
      </c>
      <c r="G196" s="29">
        <f t="shared" si="186"/>
        <v>0</v>
      </c>
      <c r="H196" s="38">
        <f t="shared" si="186"/>
        <v>0</v>
      </c>
      <c r="I196" s="38">
        <f t="shared" si="186"/>
        <v>0</v>
      </c>
      <c r="J196" s="29">
        <f t="shared" si="186"/>
        <v>0</v>
      </c>
      <c r="K196" s="29">
        <f t="shared" si="186"/>
        <v>0</v>
      </c>
      <c r="L196" s="29">
        <v>0</v>
      </c>
      <c r="M196" s="30">
        <v>0</v>
      </c>
      <c r="N196" s="91">
        <v>0</v>
      </c>
      <c r="O196" s="29">
        <v>0</v>
      </c>
      <c r="P196" s="29">
        <v>0</v>
      </c>
      <c r="Q196" s="29">
        <v>0</v>
      </c>
      <c r="R196" s="29">
        <v>0</v>
      </c>
      <c r="S196" s="23" t="s">
        <v>27</v>
      </c>
    </row>
    <row r="197" spans="1:19" s="22" customFormat="1" ht="24.75" customHeight="1" x14ac:dyDescent="0.25">
      <c r="A197" s="131" t="s">
        <v>26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1"/>
    </row>
    <row r="198" spans="1:19" s="22" customFormat="1" ht="16.5" x14ac:dyDescent="0.25">
      <c r="A198" s="23">
        <f>A196+1</f>
        <v>159</v>
      </c>
      <c r="B198" s="119" t="s">
        <v>26</v>
      </c>
      <c r="C198" s="121"/>
      <c r="D198" s="28">
        <f>SUM(E198:R198)</f>
        <v>795705</v>
      </c>
      <c r="E198" s="28">
        <f t="shared" ref="E198:O198" si="188">SUM(E199:E202)</f>
        <v>143000</v>
      </c>
      <c r="F198" s="28">
        <f t="shared" si="188"/>
        <v>182960</v>
      </c>
      <c r="G198" s="28">
        <f t="shared" si="188"/>
        <v>55500</v>
      </c>
      <c r="H198" s="37">
        <f t="shared" si="188"/>
        <v>31388</v>
      </c>
      <c r="I198" s="37">
        <f t="shared" si="188"/>
        <v>71727</v>
      </c>
      <c r="J198" s="28">
        <f t="shared" si="188"/>
        <v>54000</v>
      </c>
      <c r="K198" s="28">
        <f t="shared" si="188"/>
        <v>26000</v>
      </c>
      <c r="L198" s="28">
        <f t="shared" si="188"/>
        <v>54000</v>
      </c>
      <c r="M198" s="35">
        <f t="shared" si="188"/>
        <v>27000</v>
      </c>
      <c r="N198" s="92">
        <f t="shared" si="188"/>
        <v>31000</v>
      </c>
      <c r="O198" s="28">
        <f t="shared" si="188"/>
        <v>40000</v>
      </c>
      <c r="P198" s="28">
        <f t="shared" ref="P198:R198" si="189">SUM(P199:P202)</f>
        <v>40560</v>
      </c>
      <c r="Q198" s="28">
        <f t="shared" si="189"/>
        <v>38570</v>
      </c>
      <c r="R198" s="28">
        <f t="shared" si="189"/>
        <v>0</v>
      </c>
      <c r="S198" s="23" t="s">
        <v>27</v>
      </c>
    </row>
    <row r="199" spans="1:19" s="22" customFormat="1" ht="16.5" x14ac:dyDescent="0.25">
      <c r="A199" s="23">
        <f>A198+1</f>
        <v>160</v>
      </c>
      <c r="B199" s="111" t="s">
        <v>22</v>
      </c>
      <c r="C199" s="112"/>
      <c r="D199" s="28">
        <f t="shared" ref="D199:D202" si="190">SUM(E199:R199)</f>
        <v>0</v>
      </c>
      <c r="E199" s="29">
        <f t="shared" ref="E199:K202" si="191">E205</f>
        <v>0</v>
      </c>
      <c r="F199" s="29">
        <f t="shared" si="191"/>
        <v>0</v>
      </c>
      <c r="G199" s="29">
        <f t="shared" si="191"/>
        <v>0</v>
      </c>
      <c r="H199" s="38">
        <f t="shared" si="191"/>
        <v>0</v>
      </c>
      <c r="I199" s="38">
        <f t="shared" si="191"/>
        <v>0</v>
      </c>
      <c r="J199" s="29">
        <f t="shared" si="191"/>
        <v>0</v>
      </c>
      <c r="K199" s="29">
        <f t="shared" si="191"/>
        <v>0</v>
      </c>
      <c r="L199" s="29">
        <v>0</v>
      </c>
      <c r="M199" s="30">
        <v>0</v>
      </c>
      <c r="N199" s="91">
        <v>0</v>
      </c>
      <c r="O199" s="29">
        <v>0</v>
      </c>
      <c r="P199" s="29">
        <v>0</v>
      </c>
      <c r="Q199" s="29">
        <v>0</v>
      </c>
      <c r="R199" s="29">
        <v>0</v>
      </c>
      <c r="S199" s="23" t="s">
        <v>27</v>
      </c>
    </row>
    <row r="200" spans="1:19" s="22" customFormat="1" ht="16.5" x14ac:dyDescent="0.25">
      <c r="A200" s="23">
        <f>A199+1</f>
        <v>161</v>
      </c>
      <c r="B200" s="111" t="s">
        <v>23</v>
      </c>
      <c r="C200" s="112"/>
      <c r="D200" s="28">
        <f t="shared" si="190"/>
        <v>111000</v>
      </c>
      <c r="E200" s="29">
        <f t="shared" si="191"/>
        <v>0</v>
      </c>
      <c r="F200" s="29">
        <f t="shared" si="191"/>
        <v>91000</v>
      </c>
      <c r="G200" s="29">
        <f t="shared" si="191"/>
        <v>0</v>
      </c>
      <c r="H200" s="38">
        <f t="shared" si="191"/>
        <v>0</v>
      </c>
      <c r="I200" s="38">
        <f t="shared" si="191"/>
        <v>20000</v>
      </c>
      <c r="J200" s="29">
        <f t="shared" si="191"/>
        <v>0</v>
      </c>
      <c r="K200" s="29">
        <f t="shared" si="191"/>
        <v>0</v>
      </c>
      <c r="L200" s="29">
        <v>0</v>
      </c>
      <c r="M200" s="30">
        <v>0</v>
      </c>
      <c r="N200" s="91">
        <v>0</v>
      </c>
      <c r="O200" s="29">
        <v>0</v>
      </c>
      <c r="P200" s="29">
        <v>0</v>
      </c>
      <c r="Q200" s="29">
        <v>0</v>
      </c>
      <c r="R200" s="29">
        <v>0</v>
      </c>
      <c r="S200" s="23" t="s">
        <v>27</v>
      </c>
    </row>
    <row r="201" spans="1:19" s="22" customFormat="1" ht="16.5" x14ac:dyDescent="0.25">
      <c r="A201" s="23">
        <f>A200+1</f>
        <v>162</v>
      </c>
      <c r="B201" s="111" t="s">
        <v>24</v>
      </c>
      <c r="C201" s="112"/>
      <c r="D201" s="28">
        <f t="shared" si="190"/>
        <v>684705</v>
      </c>
      <c r="E201" s="29">
        <f t="shared" si="191"/>
        <v>143000</v>
      </c>
      <c r="F201" s="29">
        <f t="shared" si="191"/>
        <v>91960</v>
      </c>
      <c r="G201" s="29">
        <f t="shared" si="191"/>
        <v>55500</v>
      </c>
      <c r="H201" s="38">
        <f t="shared" si="191"/>
        <v>31388</v>
      </c>
      <c r="I201" s="38">
        <f t="shared" si="191"/>
        <v>51727</v>
      </c>
      <c r="J201" s="29">
        <f t="shared" si="191"/>
        <v>54000</v>
      </c>
      <c r="K201" s="29">
        <f t="shared" si="191"/>
        <v>26000</v>
      </c>
      <c r="L201" s="29">
        <f>L207</f>
        <v>54000</v>
      </c>
      <c r="M201" s="30">
        <f>M207</f>
        <v>27000</v>
      </c>
      <c r="N201" s="91">
        <f>N207</f>
        <v>31000</v>
      </c>
      <c r="O201" s="29">
        <f>O207</f>
        <v>40000</v>
      </c>
      <c r="P201" s="29">
        <f>P207</f>
        <v>40560</v>
      </c>
      <c r="Q201" s="29">
        <f t="shared" ref="Q201:R201" si="192">Q207</f>
        <v>38570</v>
      </c>
      <c r="R201" s="29">
        <f t="shared" si="192"/>
        <v>0</v>
      </c>
      <c r="S201" s="23" t="s">
        <v>27</v>
      </c>
    </row>
    <row r="202" spans="1:19" s="22" customFormat="1" ht="16.5" x14ac:dyDescent="0.25">
      <c r="A202" s="23">
        <f>A201+1</f>
        <v>163</v>
      </c>
      <c r="B202" s="132" t="s">
        <v>25</v>
      </c>
      <c r="C202" s="133"/>
      <c r="D202" s="28">
        <f t="shared" si="190"/>
        <v>0</v>
      </c>
      <c r="E202" s="29">
        <f t="shared" si="191"/>
        <v>0</v>
      </c>
      <c r="F202" s="29">
        <f t="shared" si="191"/>
        <v>0</v>
      </c>
      <c r="G202" s="29">
        <f t="shared" si="191"/>
        <v>0</v>
      </c>
      <c r="H202" s="38">
        <f t="shared" si="191"/>
        <v>0</v>
      </c>
      <c r="I202" s="38">
        <f t="shared" si="191"/>
        <v>0</v>
      </c>
      <c r="J202" s="29">
        <f t="shared" si="191"/>
        <v>0</v>
      </c>
      <c r="K202" s="29">
        <f t="shared" si="191"/>
        <v>0</v>
      </c>
      <c r="L202" s="29">
        <v>0</v>
      </c>
      <c r="M202" s="30">
        <v>0</v>
      </c>
      <c r="N202" s="91">
        <v>0</v>
      </c>
      <c r="O202" s="29">
        <v>0</v>
      </c>
      <c r="P202" s="29">
        <v>0</v>
      </c>
      <c r="Q202" s="29">
        <v>0</v>
      </c>
      <c r="R202" s="29">
        <v>0</v>
      </c>
      <c r="S202" s="23" t="s">
        <v>27</v>
      </c>
    </row>
    <row r="203" spans="1:19" s="53" customFormat="1" ht="16.5" x14ac:dyDescent="0.25">
      <c r="A203" s="127">
        <f>A202+1</f>
        <v>164</v>
      </c>
      <c r="B203" s="163" t="s">
        <v>46</v>
      </c>
      <c r="C203" s="164"/>
      <c r="D203" s="115">
        <f>SUM(E203:R204)</f>
        <v>795705</v>
      </c>
      <c r="E203" s="115">
        <f t="shared" ref="E203:O203" si="193">SUM(E205:E208)</f>
        <v>143000</v>
      </c>
      <c r="F203" s="115">
        <f t="shared" si="193"/>
        <v>182960</v>
      </c>
      <c r="G203" s="115">
        <f t="shared" si="193"/>
        <v>55500</v>
      </c>
      <c r="H203" s="115">
        <f t="shared" si="193"/>
        <v>31388</v>
      </c>
      <c r="I203" s="115">
        <f t="shared" si="193"/>
        <v>71727</v>
      </c>
      <c r="J203" s="115">
        <f t="shared" si="193"/>
        <v>54000</v>
      </c>
      <c r="K203" s="115">
        <f t="shared" si="193"/>
        <v>26000</v>
      </c>
      <c r="L203" s="115">
        <f t="shared" si="193"/>
        <v>54000</v>
      </c>
      <c r="M203" s="115">
        <f t="shared" si="193"/>
        <v>27000</v>
      </c>
      <c r="N203" s="109">
        <f t="shared" si="193"/>
        <v>31000</v>
      </c>
      <c r="O203" s="104">
        <f t="shared" si="193"/>
        <v>40000</v>
      </c>
      <c r="P203" s="104">
        <f t="shared" ref="P203:R203" si="194">SUM(P205:P208)</f>
        <v>40560</v>
      </c>
      <c r="Q203" s="104">
        <f t="shared" si="194"/>
        <v>38570</v>
      </c>
      <c r="R203" s="104">
        <f t="shared" si="194"/>
        <v>0</v>
      </c>
      <c r="S203" s="127" t="s">
        <v>68</v>
      </c>
    </row>
    <row r="204" spans="1:19" s="53" customFormat="1" ht="76.5" customHeight="1" x14ac:dyDescent="0.25">
      <c r="A204" s="128"/>
      <c r="B204" s="129" t="s">
        <v>69</v>
      </c>
      <c r="C204" s="130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0"/>
      <c r="O204" s="106"/>
      <c r="P204" s="106"/>
      <c r="Q204" s="106"/>
      <c r="R204" s="106"/>
      <c r="S204" s="128"/>
    </row>
    <row r="205" spans="1:19" s="22" customFormat="1" ht="16.5" x14ac:dyDescent="0.25">
      <c r="A205" s="23">
        <f>A203+1</f>
        <v>165</v>
      </c>
      <c r="B205" s="113" t="s">
        <v>22</v>
      </c>
      <c r="C205" s="114"/>
      <c r="D205" s="28">
        <f>SUM(E205:R205)</f>
        <v>0</v>
      </c>
      <c r="E205" s="29">
        <v>0</v>
      </c>
      <c r="F205" s="29">
        <v>0</v>
      </c>
      <c r="G205" s="29">
        <v>0</v>
      </c>
      <c r="H205" s="38">
        <v>0</v>
      </c>
      <c r="I205" s="38">
        <v>0</v>
      </c>
      <c r="J205" s="29">
        <v>0</v>
      </c>
      <c r="K205" s="29">
        <v>0</v>
      </c>
      <c r="L205" s="29">
        <v>0</v>
      </c>
      <c r="M205" s="30">
        <v>0</v>
      </c>
      <c r="N205" s="91">
        <v>0</v>
      </c>
      <c r="O205" s="29">
        <v>0</v>
      </c>
      <c r="P205" s="29">
        <v>0</v>
      </c>
      <c r="Q205" s="29">
        <v>0</v>
      </c>
      <c r="R205" s="29">
        <v>0</v>
      </c>
      <c r="S205" s="23" t="s">
        <v>27</v>
      </c>
    </row>
    <row r="206" spans="1:19" s="46" customFormat="1" ht="16.5" x14ac:dyDescent="0.25">
      <c r="A206" s="23">
        <f>A205+1</f>
        <v>166</v>
      </c>
      <c r="B206" s="111" t="s">
        <v>23</v>
      </c>
      <c r="C206" s="112"/>
      <c r="D206" s="28">
        <f t="shared" ref="D206:D208" si="195">SUM(E206:R206)</f>
        <v>111000</v>
      </c>
      <c r="E206" s="29">
        <v>0</v>
      </c>
      <c r="F206" s="29">
        <v>91000</v>
      </c>
      <c r="G206" s="29">
        <v>0</v>
      </c>
      <c r="H206" s="38">
        <v>0</v>
      </c>
      <c r="I206" s="38">
        <v>20000</v>
      </c>
      <c r="J206" s="29">
        <v>0</v>
      </c>
      <c r="K206" s="29">
        <v>0</v>
      </c>
      <c r="L206" s="29">
        <v>0</v>
      </c>
      <c r="M206" s="30">
        <v>0</v>
      </c>
      <c r="N206" s="91">
        <v>0</v>
      </c>
      <c r="O206" s="29">
        <v>0</v>
      </c>
      <c r="P206" s="29">
        <v>0</v>
      </c>
      <c r="Q206" s="29">
        <v>0</v>
      </c>
      <c r="R206" s="29">
        <v>0</v>
      </c>
      <c r="S206" s="23" t="s">
        <v>27</v>
      </c>
    </row>
    <row r="207" spans="1:19" s="22" customFormat="1" ht="16.5" x14ac:dyDescent="0.25">
      <c r="A207" s="23">
        <f>A206+1</f>
        <v>167</v>
      </c>
      <c r="B207" s="111" t="s">
        <v>24</v>
      </c>
      <c r="C207" s="112"/>
      <c r="D207" s="28">
        <f t="shared" si="195"/>
        <v>684705</v>
      </c>
      <c r="E207" s="29">
        <v>143000</v>
      </c>
      <c r="F207" s="29">
        <v>91960</v>
      </c>
      <c r="G207" s="29">
        <v>55500</v>
      </c>
      <c r="H207" s="38">
        <f>93000-41612-20000</f>
        <v>31388</v>
      </c>
      <c r="I207" s="38">
        <v>51727</v>
      </c>
      <c r="J207" s="29">
        <v>54000</v>
      </c>
      <c r="K207" s="29">
        <f>54000-28000</f>
        <v>26000</v>
      </c>
      <c r="L207" s="29">
        <v>54000</v>
      </c>
      <c r="M207" s="30">
        <f>72000-45000</f>
        <v>27000</v>
      </c>
      <c r="N207" s="91">
        <v>31000</v>
      </c>
      <c r="O207" s="29">
        <v>40000</v>
      </c>
      <c r="P207" s="29">
        <v>40560</v>
      </c>
      <c r="Q207" s="29">
        <v>38570</v>
      </c>
      <c r="R207" s="29">
        <v>0</v>
      </c>
      <c r="S207" s="23" t="s">
        <v>27</v>
      </c>
    </row>
    <row r="208" spans="1:19" s="22" customFormat="1" ht="16.5" x14ac:dyDescent="0.25">
      <c r="A208" s="23">
        <f>A207+1</f>
        <v>168</v>
      </c>
      <c r="B208" s="111" t="s">
        <v>25</v>
      </c>
      <c r="C208" s="112"/>
      <c r="D208" s="28">
        <f t="shared" si="195"/>
        <v>0</v>
      </c>
      <c r="E208" s="29">
        <v>0</v>
      </c>
      <c r="F208" s="29">
        <v>0</v>
      </c>
      <c r="G208" s="29">
        <v>0</v>
      </c>
      <c r="H208" s="38">
        <v>0</v>
      </c>
      <c r="I208" s="38">
        <v>0</v>
      </c>
      <c r="J208" s="29">
        <v>0</v>
      </c>
      <c r="K208" s="29">
        <v>0</v>
      </c>
      <c r="L208" s="29">
        <v>0</v>
      </c>
      <c r="M208" s="30">
        <v>0</v>
      </c>
      <c r="N208" s="91">
        <v>0</v>
      </c>
      <c r="O208" s="29">
        <v>0</v>
      </c>
      <c r="P208" s="29">
        <v>0</v>
      </c>
      <c r="Q208" s="29">
        <v>0</v>
      </c>
      <c r="R208" s="29">
        <v>0</v>
      </c>
      <c r="S208" s="23" t="s">
        <v>27</v>
      </c>
    </row>
    <row r="209" spans="1:31" s="22" customFormat="1" ht="37.5" customHeight="1" x14ac:dyDescent="0.25">
      <c r="A209" s="134" t="s">
        <v>101</v>
      </c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6"/>
    </row>
    <row r="210" spans="1:31" s="22" customFormat="1" ht="74.25" customHeight="1" x14ac:dyDescent="0.25">
      <c r="A210" s="23">
        <f>A208+1</f>
        <v>169</v>
      </c>
      <c r="B210" s="119" t="s">
        <v>70</v>
      </c>
      <c r="C210" s="121"/>
      <c r="D210" s="28">
        <f>SUM(E210:R210)</f>
        <v>33751435</v>
      </c>
      <c r="E210" s="28">
        <f t="shared" ref="E210:R210" si="196">SUM(E211:E214)</f>
        <v>949760</v>
      </c>
      <c r="F210" s="28">
        <f t="shared" si="196"/>
        <v>1335434</v>
      </c>
      <c r="G210" s="28">
        <f t="shared" si="196"/>
        <v>1966061</v>
      </c>
      <c r="H210" s="37">
        <f t="shared" si="196"/>
        <v>2587204</v>
      </c>
      <c r="I210" s="37">
        <f t="shared" si="196"/>
        <v>2446653</v>
      </c>
      <c r="J210" s="28">
        <f t="shared" si="196"/>
        <v>2427084</v>
      </c>
      <c r="K210" s="28">
        <f t="shared" si="196"/>
        <v>2591954</v>
      </c>
      <c r="L210" s="28">
        <f t="shared" si="196"/>
        <v>2461092</v>
      </c>
      <c r="M210" s="35">
        <f t="shared" si="196"/>
        <v>2645900</v>
      </c>
      <c r="N210" s="92">
        <f t="shared" si="196"/>
        <v>3214107</v>
      </c>
      <c r="O210" s="28">
        <f t="shared" si="196"/>
        <v>3677040</v>
      </c>
      <c r="P210" s="28">
        <f t="shared" si="196"/>
        <v>3715017</v>
      </c>
      <c r="Q210" s="28">
        <f t="shared" si="196"/>
        <v>3734129</v>
      </c>
      <c r="R210" s="28">
        <f t="shared" si="196"/>
        <v>0</v>
      </c>
      <c r="S210" s="23" t="s">
        <v>27</v>
      </c>
    </row>
    <row r="211" spans="1:31" s="22" customFormat="1" ht="16.5" x14ac:dyDescent="0.25">
      <c r="A211" s="23">
        <f>A210+1</f>
        <v>170</v>
      </c>
      <c r="B211" s="111" t="s">
        <v>22</v>
      </c>
      <c r="C211" s="112"/>
      <c r="D211" s="28">
        <f t="shared" ref="D211:D214" si="197">SUM(E211:R211)</f>
        <v>0</v>
      </c>
      <c r="E211" s="29">
        <f t="shared" ref="E211:O211" si="198">E217</f>
        <v>0</v>
      </c>
      <c r="F211" s="29">
        <f t="shared" si="198"/>
        <v>0</v>
      </c>
      <c r="G211" s="29">
        <f t="shared" si="198"/>
        <v>0</v>
      </c>
      <c r="H211" s="38">
        <f t="shared" si="198"/>
        <v>0</v>
      </c>
      <c r="I211" s="38">
        <f t="shared" si="198"/>
        <v>0</v>
      </c>
      <c r="J211" s="29">
        <f t="shared" si="198"/>
        <v>0</v>
      </c>
      <c r="K211" s="29">
        <f t="shared" si="198"/>
        <v>0</v>
      </c>
      <c r="L211" s="29">
        <f t="shared" si="198"/>
        <v>0</v>
      </c>
      <c r="M211" s="30">
        <f t="shared" si="198"/>
        <v>0</v>
      </c>
      <c r="N211" s="91">
        <f t="shared" si="198"/>
        <v>0</v>
      </c>
      <c r="O211" s="29">
        <f t="shared" si="198"/>
        <v>0</v>
      </c>
      <c r="P211" s="29">
        <f t="shared" ref="P211:R211" si="199">P217</f>
        <v>0</v>
      </c>
      <c r="Q211" s="29">
        <f t="shared" si="199"/>
        <v>0</v>
      </c>
      <c r="R211" s="29">
        <f t="shared" si="199"/>
        <v>0</v>
      </c>
      <c r="S211" s="23" t="s">
        <v>27</v>
      </c>
    </row>
    <row r="212" spans="1:31" s="55" customFormat="1" ht="16.5" x14ac:dyDescent="0.25">
      <c r="A212" s="23">
        <f>A211+1</f>
        <v>171</v>
      </c>
      <c r="B212" s="111" t="s">
        <v>23</v>
      </c>
      <c r="C212" s="112"/>
      <c r="D212" s="28">
        <f t="shared" si="197"/>
        <v>193761</v>
      </c>
      <c r="E212" s="29">
        <f t="shared" ref="E212:O212" si="200">E218</f>
        <v>0</v>
      </c>
      <c r="F212" s="29">
        <f t="shared" si="200"/>
        <v>0</v>
      </c>
      <c r="G212" s="29">
        <f t="shared" si="200"/>
        <v>0</v>
      </c>
      <c r="H212" s="38">
        <f t="shared" si="200"/>
        <v>134400</v>
      </c>
      <c r="I212" s="38">
        <f t="shared" si="200"/>
        <v>0</v>
      </c>
      <c r="J212" s="29">
        <f t="shared" si="200"/>
        <v>0</v>
      </c>
      <c r="K212" s="29">
        <f t="shared" si="200"/>
        <v>0</v>
      </c>
      <c r="L212" s="29">
        <f t="shared" si="200"/>
        <v>0</v>
      </c>
      <c r="M212" s="30">
        <f t="shared" si="200"/>
        <v>21911</v>
      </c>
      <c r="N212" s="91">
        <f t="shared" si="200"/>
        <v>37450</v>
      </c>
      <c r="O212" s="29">
        <f t="shared" si="200"/>
        <v>0</v>
      </c>
      <c r="P212" s="29">
        <f t="shared" ref="P212:R212" si="201">P218</f>
        <v>0</v>
      </c>
      <c r="Q212" s="29">
        <f t="shared" si="201"/>
        <v>0</v>
      </c>
      <c r="R212" s="29">
        <f t="shared" si="201"/>
        <v>0</v>
      </c>
      <c r="S212" s="23" t="s">
        <v>27</v>
      </c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s="22" customFormat="1" ht="16.5" x14ac:dyDescent="0.25">
      <c r="A213" s="23">
        <f>A212+1</f>
        <v>172</v>
      </c>
      <c r="B213" s="111" t="s">
        <v>24</v>
      </c>
      <c r="C213" s="112"/>
      <c r="D213" s="28">
        <f t="shared" si="197"/>
        <v>33557674</v>
      </c>
      <c r="E213" s="29">
        <f t="shared" ref="E213:O213" si="202">E219</f>
        <v>949760</v>
      </c>
      <c r="F213" s="29">
        <f t="shared" si="202"/>
        <v>1335434</v>
      </c>
      <c r="G213" s="29">
        <f t="shared" si="202"/>
        <v>1966061</v>
      </c>
      <c r="H213" s="38">
        <f t="shared" si="202"/>
        <v>2452804</v>
      </c>
      <c r="I213" s="38">
        <f t="shared" si="202"/>
        <v>2446653</v>
      </c>
      <c r="J213" s="29">
        <f t="shared" si="202"/>
        <v>2427084</v>
      </c>
      <c r="K213" s="29">
        <f t="shared" si="202"/>
        <v>2591954</v>
      </c>
      <c r="L213" s="29">
        <f t="shared" si="202"/>
        <v>2461092</v>
      </c>
      <c r="M213" s="30">
        <f t="shared" si="202"/>
        <v>2623989</v>
      </c>
      <c r="N213" s="91">
        <f t="shared" si="202"/>
        <v>3176657</v>
      </c>
      <c r="O213" s="29">
        <f t="shared" si="202"/>
        <v>3677040</v>
      </c>
      <c r="P213" s="29">
        <f t="shared" ref="P213:R213" si="203">P219</f>
        <v>3715017</v>
      </c>
      <c r="Q213" s="29">
        <f t="shared" si="203"/>
        <v>3734129</v>
      </c>
      <c r="R213" s="29">
        <f t="shared" si="203"/>
        <v>0</v>
      </c>
      <c r="S213" s="23" t="s">
        <v>27</v>
      </c>
    </row>
    <row r="214" spans="1:31" s="22" customFormat="1" ht="16.5" x14ac:dyDescent="0.25">
      <c r="A214" s="23">
        <f>A213+1</f>
        <v>173</v>
      </c>
      <c r="B214" s="111" t="s">
        <v>25</v>
      </c>
      <c r="C214" s="112"/>
      <c r="D214" s="28">
        <f t="shared" si="197"/>
        <v>0</v>
      </c>
      <c r="E214" s="29">
        <f t="shared" ref="E214:K214" si="204">E220</f>
        <v>0</v>
      </c>
      <c r="F214" s="29">
        <f t="shared" si="204"/>
        <v>0</v>
      </c>
      <c r="G214" s="29">
        <f t="shared" si="204"/>
        <v>0</v>
      </c>
      <c r="H214" s="38">
        <f t="shared" si="204"/>
        <v>0</v>
      </c>
      <c r="I214" s="38">
        <f t="shared" si="204"/>
        <v>0</v>
      </c>
      <c r="J214" s="29">
        <f t="shared" si="204"/>
        <v>0</v>
      </c>
      <c r="K214" s="29">
        <f t="shared" si="204"/>
        <v>0</v>
      </c>
      <c r="L214" s="29">
        <v>0</v>
      </c>
      <c r="M214" s="30">
        <v>0</v>
      </c>
      <c r="N214" s="91">
        <v>0</v>
      </c>
      <c r="O214" s="29">
        <v>0</v>
      </c>
      <c r="P214" s="29">
        <v>0</v>
      </c>
      <c r="Q214" s="29">
        <v>0</v>
      </c>
      <c r="R214" s="29">
        <v>0</v>
      </c>
      <c r="S214" s="23" t="s">
        <v>27</v>
      </c>
    </row>
    <row r="215" spans="1:31" s="22" customFormat="1" ht="20.25" customHeight="1" x14ac:dyDescent="0.25">
      <c r="A215" s="119" t="s">
        <v>26</v>
      </c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1"/>
    </row>
    <row r="216" spans="1:31" s="22" customFormat="1" ht="16.5" x14ac:dyDescent="0.25">
      <c r="A216" s="23">
        <f>A214+1</f>
        <v>174</v>
      </c>
      <c r="B216" s="119" t="s">
        <v>26</v>
      </c>
      <c r="C216" s="121"/>
      <c r="D216" s="28">
        <f>SUM(E216:R216)</f>
        <v>33751435</v>
      </c>
      <c r="E216" s="28">
        <f t="shared" ref="E216:O216" si="205">SUM(E217:E220)</f>
        <v>949760</v>
      </c>
      <c r="F216" s="28">
        <f t="shared" si="205"/>
        <v>1335434</v>
      </c>
      <c r="G216" s="28">
        <f t="shared" si="205"/>
        <v>1966061</v>
      </c>
      <c r="H216" s="37">
        <f t="shared" si="205"/>
        <v>2587204</v>
      </c>
      <c r="I216" s="37">
        <f t="shared" si="205"/>
        <v>2446653</v>
      </c>
      <c r="J216" s="28">
        <f t="shared" si="205"/>
        <v>2427084</v>
      </c>
      <c r="K216" s="28">
        <f t="shared" si="205"/>
        <v>2591954</v>
      </c>
      <c r="L216" s="28">
        <f t="shared" si="205"/>
        <v>2461092</v>
      </c>
      <c r="M216" s="35">
        <f t="shared" si="205"/>
        <v>2645900</v>
      </c>
      <c r="N216" s="92">
        <f t="shared" si="205"/>
        <v>3214107</v>
      </c>
      <c r="O216" s="28">
        <f t="shared" si="205"/>
        <v>3677040</v>
      </c>
      <c r="P216" s="28">
        <f t="shared" ref="P216:R216" si="206">SUM(P217:P220)</f>
        <v>3715017</v>
      </c>
      <c r="Q216" s="28">
        <f t="shared" si="206"/>
        <v>3734129</v>
      </c>
      <c r="R216" s="28">
        <f t="shared" si="206"/>
        <v>0</v>
      </c>
      <c r="S216" s="23" t="s">
        <v>27</v>
      </c>
    </row>
    <row r="217" spans="1:31" s="22" customFormat="1" ht="16.5" x14ac:dyDescent="0.25">
      <c r="A217" s="23">
        <f>A216+1</f>
        <v>175</v>
      </c>
      <c r="B217" s="111" t="s">
        <v>22</v>
      </c>
      <c r="C217" s="112"/>
      <c r="D217" s="28">
        <f t="shared" ref="D217:D220" si="207">SUM(E217:R217)</f>
        <v>0</v>
      </c>
      <c r="E217" s="29">
        <f t="shared" ref="E217:K217" si="208">E223+E229</f>
        <v>0</v>
      </c>
      <c r="F217" s="29">
        <f t="shared" si="208"/>
        <v>0</v>
      </c>
      <c r="G217" s="29">
        <f t="shared" si="208"/>
        <v>0</v>
      </c>
      <c r="H217" s="38">
        <f t="shared" si="208"/>
        <v>0</v>
      </c>
      <c r="I217" s="38">
        <f t="shared" si="208"/>
        <v>0</v>
      </c>
      <c r="J217" s="29">
        <f t="shared" si="208"/>
        <v>0</v>
      </c>
      <c r="K217" s="29">
        <f t="shared" si="208"/>
        <v>0</v>
      </c>
      <c r="L217" s="29">
        <v>0</v>
      </c>
      <c r="M217" s="30">
        <v>0</v>
      </c>
      <c r="N217" s="91">
        <v>0</v>
      </c>
      <c r="O217" s="29">
        <v>0</v>
      </c>
      <c r="P217" s="29">
        <v>0</v>
      </c>
      <c r="Q217" s="29">
        <v>0</v>
      </c>
      <c r="R217" s="29">
        <v>0</v>
      </c>
      <c r="S217" s="23" t="s">
        <v>27</v>
      </c>
    </row>
    <row r="218" spans="1:31" s="55" customFormat="1" ht="16.5" x14ac:dyDescent="0.25">
      <c r="A218" s="23">
        <f>A217+1</f>
        <v>176</v>
      </c>
      <c r="B218" s="111" t="s">
        <v>23</v>
      </c>
      <c r="C218" s="112"/>
      <c r="D218" s="28">
        <f t="shared" si="207"/>
        <v>193761</v>
      </c>
      <c r="E218" s="29">
        <f t="shared" ref="E218:G220" si="209">E224+E230</f>
        <v>0</v>
      </c>
      <c r="F218" s="29">
        <f t="shared" si="209"/>
        <v>0</v>
      </c>
      <c r="G218" s="29">
        <f t="shared" si="209"/>
        <v>0</v>
      </c>
      <c r="H218" s="38">
        <f>H224+H230+H242</f>
        <v>134400</v>
      </c>
      <c r="I218" s="38">
        <f>I224+I230</f>
        <v>0</v>
      </c>
      <c r="J218" s="29">
        <f>J224+J230</f>
        <v>0</v>
      </c>
      <c r="K218" s="29">
        <f>K224+K230</f>
        <v>0</v>
      </c>
      <c r="L218" s="29">
        <v>0</v>
      </c>
      <c r="M218" s="30">
        <f>M224+M230+M236+M242</f>
        <v>21911</v>
      </c>
      <c r="N218" s="91">
        <f>N224+N230+N236+N242</f>
        <v>37450</v>
      </c>
      <c r="O218" s="29">
        <v>0</v>
      </c>
      <c r="P218" s="29">
        <v>0</v>
      </c>
      <c r="Q218" s="29">
        <v>0</v>
      </c>
      <c r="R218" s="29">
        <v>0</v>
      </c>
      <c r="S218" s="23" t="s">
        <v>27</v>
      </c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s="22" customFormat="1" ht="16.5" x14ac:dyDescent="0.25">
      <c r="A219" s="23">
        <f>A218+1</f>
        <v>177</v>
      </c>
      <c r="B219" s="111" t="s">
        <v>24</v>
      </c>
      <c r="C219" s="112"/>
      <c r="D219" s="28">
        <f t="shared" si="207"/>
        <v>33557674</v>
      </c>
      <c r="E219" s="29">
        <f t="shared" si="209"/>
        <v>949760</v>
      </c>
      <c r="F219" s="29">
        <f t="shared" si="209"/>
        <v>1335434</v>
      </c>
      <c r="G219" s="29">
        <f t="shared" si="209"/>
        <v>1966061</v>
      </c>
      <c r="H219" s="38">
        <f>H225+H231+H237+H243</f>
        <v>2452804</v>
      </c>
      <c r="I219" s="38">
        <f>I225+I231+I237+I243</f>
        <v>2446653</v>
      </c>
      <c r="J219" s="29">
        <f>J225+J231+J237+J246+J243</f>
        <v>2427084</v>
      </c>
      <c r="K219" s="29">
        <f>K225+K231+K237+K245+K243</f>
        <v>2591954</v>
      </c>
      <c r="L219" s="29">
        <f>L225+L231+L237+L245+L243</f>
        <v>2461092</v>
      </c>
      <c r="M219" s="30">
        <f>M225+M231+M237+M245+M243</f>
        <v>2623989</v>
      </c>
      <c r="N219" s="91">
        <f>N225+N231+N237+N245+N243</f>
        <v>3176657</v>
      </c>
      <c r="O219" s="29">
        <f>O225+O231+O237+O246+O243</f>
        <v>3677040</v>
      </c>
      <c r="P219" s="29">
        <f t="shared" ref="P219:R219" si="210">P225+P231+P237+P245+P243</f>
        <v>3715017</v>
      </c>
      <c r="Q219" s="29">
        <f t="shared" si="210"/>
        <v>3734129</v>
      </c>
      <c r="R219" s="29">
        <f t="shared" si="210"/>
        <v>0</v>
      </c>
      <c r="S219" s="23" t="s">
        <v>27</v>
      </c>
    </row>
    <row r="220" spans="1:31" s="22" customFormat="1" ht="16.5" x14ac:dyDescent="0.25">
      <c r="A220" s="23">
        <f>A219+1</f>
        <v>178</v>
      </c>
      <c r="B220" s="132" t="s">
        <v>25</v>
      </c>
      <c r="C220" s="133"/>
      <c r="D220" s="28">
        <f t="shared" si="207"/>
        <v>0</v>
      </c>
      <c r="E220" s="29">
        <f t="shared" si="209"/>
        <v>0</v>
      </c>
      <c r="F220" s="29">
        <f t="shared" si="209"/>
        <v>0</v>
      </c>
      <c r="G220" s="29">
        <f t="shared" si="209"/>
        <v>0</v>
      </c>
      <c r="H220" s="38">
        <f>H226+H232</f>
        <v>0</v>
      </c>
      <c r="I220" s="38">
        <f>I226+I232</f>
        <v>0</v>
      </c>
      <c r="J220" s="29">
        <f>J226+J232</f>
        <v>0</v>
      </c>
      <c r="K220" s="29">
        <f>K226+K232</f>
        <v>0</v>
      </c>
      <c r="L220" s="29">
        <v>0</v>
      </c>
      <c r="M220" s="30">
        <v>0</v>
      </c>
      <c r="N220" s="91">
        <v>0</v>
      </c>
      <c r="O220" s="29">
        <v>0</v>
      </c>
      <c r="P220" s="29">
        <v>0</v>
      </c>
      <c r="Q220" s="29">
        <v>0</v>
      </c>
      <c r="R220" s="29">
        <v>0</v>
      </c>
      <c r="S220" s="23" t="s">
        <v>27</v>
      </c>
    </row>
    <row r="221" spans="1:31" s="22" customFormat="1" ht="16.5" x14ac:dyDescent="0.25">
      <c r="A221" s="102">
        <f>A220+1</f>
        <v>179</v>
      </c>
      <c r="B221" s="139" t="s">
        <v>46</v>
      </c>
      <c r="C221" s="140"/>
      <c r="D221" s="104">
        <f>SUM(E221:R222)</f>
        <v>19131937.280000001</v>
      </c>
      <c r="E221" s="104">
        <f t="shared" ref="E221:N221" si="211">SUM(E223:E226)</f>
        <v>949760</v>
      </c>
      <c r="F221" s="104">
        <f t="shared" si="211"/>
        <v>1228000</v>
      </c>
      <c r="G221" s="104">
        <f t="shared" si="211"/>
        <v>1205690</v>
      </c>
      <c r="H221" s="117">
        <f t="shared" si="211"/>
        <v>1131520</v>
      </c>
      <c r="I221" s="117">
        <f t="shared" si="211"/>
        <v>1184895</v>
      </c>
      <c r="J221" s="104">
        <f t="shared" si="211"/>
        <v>1333498.8799999999</v>
      </c>
      <c r="K221" s="104">
        <f t="shared" si="211"/>
        <v>1458580.2</v>
      </c>
      <c r="L221" s="104">
        <f t="shared" si="211"/>
        <v>1392670.2</v>
      </c>
      <c r="M221" s="115">
        <f t="shared" si="211"/>
        <v>1492332</v>
      </c>
      <c r="N221" s="109">
        <f t="shared" si="211"/>
        <v>1654651</v>
      </c>
      <c r="O221" s="104">
        <f t="shared" ref="O221:Q221" si="212">SUM(O223:O226)</f>
        <v>2014516</v>
      </c>
      <c r="P221" s="104">
        <f t="shared" si="212"/>
        <v>2034959</v>
      </c>
      <c r="Q221" s="104">
        <f t="shared" si="212"/>
        <v>2050865</v>
      </c>
      <c r="R221" s="104">
        <f t="shared" ref="R221" si="213">SUM(R223:R226)</f>
        <v>0</v>
      </c>
      <c r="S221" s="102" t="s">
        <v>71</v>
      </c>
    </row>
    <row r="222" spans="1:31" s="22" customFormat="1" ht="69.75" customHeight="1" x14ac:dyDescent="0.25">
      <c r="A222" s="103"/>
      <c r="B222" s="137" t="s">
        <v>72</v>
      </c>
      <c r="C222" s="138"/>
      <c r="D222" s="106"/>
      <c r="E222" s="106"/>
      <c r="F222" s="106"/>
      <c r="G222" s="106"/>
      <c r="H222" s="118"/>
      <c r="I222" s="118"/>
      <c r="J222" s="106"/>
      <c r="K222" s="106"/>
      <c r="L222" s="106"/>
      <c r="M222" s="116"/>
      <c r="N222" s="110"/>
      <c r="O222" s="106"/>
      <c r="P222" s="106"/>
      <c r="Q222" s="106"/>
      <c r="R222" s="106"/>
      <c r="S222" s="103"/>
    </row>
    <row r="223" spans="1:31" s="22" customFormat="1" ht="16.5" x14ac:dyDescent="0.25">
      <c r="A223" s="23">
        <f>A221+1</f>
        <v>180</v>
      </c>
      <c r="B223" s="111" t="s">
        <v>22</v>
      </c>
      <c r="C223" s="112"/>
      <c r="D223" s="28">
        <f>SUM(E223:R223)</f>
        <v>0</v>
      </c>
      <c r="E223" s="29">
        <v>0</v>
      </c>
      <c r="F223" s="29">
        <v>0</v>
      </c>
      <c r="G223" s="29">
        <v>0</v>
      </c>
      <c r="H223" s="38">
        <v>0</v>
      </c>
      <c r="I223" s="38">
        <v>0</v>
      </c>
      <c r="J223" s="29">
        <v>0</v>
      </c>
      <c r="K223" s="29">
        <v>0</v>
      </c>
      <c r="L223" s="29">
        <v>0</v>
      </c>
      <c r="M223" s="30">
        <v>0</v>
      </c>
      <c r="N223" s="91">
        <v>0</v>
      </c>
      <c r="O223" s="29">
        <v>0</v>
      </c>
      <c r="P223" s="29">
        <v>0</v>
      </c>
      <c r="Q223" s="29">
        <v>0</v>
      </c>
      <c r="R223" s="29">
        <v>0</v>
      </c>
      <c r="S223" s="23" t="s">
        <v>20</v>
      </c>
    </row>
    <row r="224" spans="1:31" s="22" customFormat="1" ht="16.5" x14ac:dyDescent="0.25">
      <c r="A224" s="23">
        <f>A223+1</f>
        <v>181</v>
      </c>
      <c r="B224" s="111" t="s">
        <v>23</v>
      </c>
      <c r="C224" s="112"/>
      <c r="D224" s="28">
        <f t="shared" ref="D224:D226" si="214">SUM(E224:R224)</f>
        <v>40623</v>
      </c>
      <c r="E224" s="29">
        <v>0</v>
      </c>
      <c r="F224" s="29">
        <v>0</v>
      </c>
      <c r="G224" s="29">
        <v>0</v>
      </c>
      <c r="H224" s="38">
        <v>0</v>
      </c>
      <c r="I224" s="38">
        <v>0</v>
      </c>
      <c r="J224" s="29">
        <v>0</v>
      </c>
      <c r="K224" s="29">
        <v>0</v>
      </c>
      <c r="L224" s="29">
        <v>0</v>
      </c>
      <c r="M224" s="30">
        <f>14761+4458</f>
        <v>19219</v>
      </c>
      <c r="N224" s="91">
        <f>16439+4965</f>
        <v>21404</v>
      </c>
      <c r="O224" s="29">
        <v>0</v>
      </c>
      <c r="P224" s="29">
        <v>0</v>
      </c>
      <c r="Q224" s="29">
        <v>0</v>
      </c>
      <c r="R224" s="29">
        <v>0</v>
      </c>
      <c r="S224" s="23" t="s">
        <v>20</v>
      </c>
    </row>
    <row r="225" spans="1:19" s="22" customFormat="1" ht="16.5" x14ac:dyDescent="0.25">
      <c r="A225" s="23">
        <f>A224+1</f>
        <v>182</v>
      </c>
      <c r="B225" s="111" t="s">
        <v>24</v>
      </c>
      <c r="C225" s="112"/>
      <c r="D225" s="28">
        <f t="shared" si="214"/>
        <v>19091314.280000001</v>
      </c>
      <c r="E225" s="29">
        <v>949760</v>
      </c>
      <c r="F225" s="29">
        <v>1228000</v>
      </c>
      <c r="G225" s="29">
        <v>1205690</v>
      </c>
      <c r="H225" s="38">
        <f>1488792-405700+48428</f>
        <v>1131520</v>
      </c>
      <c r="I225" s="38">
        <v>1184895</v>
      </c>
      <c r="J225" s="29">
        <v>1333498.8799999999</v>
      </c>
      <c r="K225" s="29">
        <f>10000+42500+4190+1650+6996+306033+690+25000+987663+45000-2013+22987-25000+24961-14039.2-6895.8+28858.2</f>
        <v>1458580.2</v>
      </c>
      <c r="L225" s="29">
        <v>1392670.2</v>
      </c>
      <c r="M225" s="30">
        <f>1441558+3578+1081+26896</f>
        <v>1473113</v>
      </c>
      <c r="N225" s="91">
        <f>1233753+372594+1000+25900</f>
        <v>1633247</v>
      </c>
      <c r="O225" s="29">
        <f>1475258+15000+450058+3200+26000+38000+7000</f>
        <v>2014516</v>
      </c>
      <c r="P225" s="29">
        <f>1505161+454559+75239</f>
        <v>2034959</v>
      </c>
      <c r="Q225" s="29">
        <f>1520214+459104+71547</f>
        <v>2050865</v>
      </c>
      <c r="R225" s="29">
        <v>0</v>
      </c>
      <c r="S225" s="23" t="s">
        <v>20</v>
      </c>
    </row>
    <row r="226" spans="1:19" s="22" customFormat="1" ht="16.5" x14ac:dyDescent="0.25">
      <c r="A226" s="23">
        <f>A225+1</f>
        <v>183</v>
      </c>
      <c r="B226" s="132" t="s">
        <v>25</v>
      </c>
      <c r="C226" s="133"/>
      <c r="D226" s="28">
        <f t="shared" si="214"/>
        <v>0</v>
      </c>
      <c r="E226" s="43">
        <v>0</v>
      </c>
      <c r="F226" s="43">
        <v>0</v>
      </c>
      <c r="G226" s="43">
        <v>0</v>
      </c>
      <c r="H226" s="44">
        <v>0</v>
      </c>
      <c r="I226" s="44">
        <v>0</v>
      </c>
      <c r="J226" s="43">
        <v>0</v>
      </c>
      <c r="K226" s="43">
        <v>0</v>
      </c>
      <c r="L226" s="43">
        <v>0</v>
      </c>
      <c r="M226" s="45">
        <v>0</v>
      </c>
      <c r="N226" s="93">
        <v>0</v>
      </c>
      <c r="O226" s="43">
        <v>0</v>
      </c>
      <c r="P226" s="43">
        <v>0</v>
      </c>
      <c r="Q226" s="43">
        <v>0</v>
      </c>
      <c r="R226" s="43">
        <v>0</v>
      </c>
      <c r="S226" s="23" t="s">
        <v>20</v>
      </c>
    </row>
    <row r="227" spans="1:19" s="22" customFormat="1" ht="16.5" x14ac:dyDescent="0.25">
      <c r="A227" s="102">
        <f>A226+1</f>
        <v>184</v>
      </c>
      <c r="B227" s="139" t="s">
        <v>34</v>
      </c>
      <c r="C227" s="140"/>
      <c r="D227" s="104">
        <f>SUM(E227:R228)</f>
        <v>12564545</v>
      </c>
      <c r="E227" s="104">
        <f t="shared" ref="E227:O227" si="215">SUM(E229:E232)</f>
        <v>0</v>
      </c>
      <c r="F227" s="104">
        <f t="shared" si="215"/>
        <v>107434</v>
      </c>
      <c r="G227" s="104">
        <f t="shared" si="215"/>
        <v>760371</v>
      </c>
      <c r="H227" s="117">
        <f t="shared" si="215"/>
        <v>837984</v>
      </c>
      <c r="I227" s="117">
        <f t="shared" si="215"/>
        <v>865458</v>
      </c>
      <c r="J227" s="104">
        <f t="shared" si="215"/>
        <v>883394</v>
      </c>
      <c r="K227" s="104">
        <f t="shared" si="215"/>
        <v>1011991</v>
      </c>
      <c r="L227" s="104">
        <f t="shared" si="215"/>
        <v>944916</v>
      </c>
      <c r="M227" s="115">
        <f t="shared" si="215"/>
        <v>970320</v>
      </c>
      <c r="N227" s="109">
        <f t="shared" si="215"/>
        <v>1386156</v>
      </c>
      <c r="O227" s="104">
        <f t="shared" si="215"/>
        <v>1585524</v>
      </c>
      <c r="P227" s="104">
        <f t="shared" ref="P227:R227" si="216">SUM(P229:P232)</f>
        <v>1601980</v>
      </c>
      <c r="Q227" s="104">
        <f t="shared" si="216"/>
        <v>1609017</v>
      </c>
      <c r="R227" s="104">
        <f t="shared" si="216"/>
        <v>0</v>
      </c>
      <c r="S227" s="102" t="s">
        <v>73</v>
      </c>
    </row>
    <row r="228" spans="1:19" s="22" customFormat="1" ht="54.75" customHeight="1" x14ac:dyDescent="0.25">
      <c r="A228" s="103"/>
      <c r="B228" s="137" t="s">
        <v>74</v>
      </c>
      <c r="C228" s="138"/>
      <c r="D228" s="106"/>
      <c r="E228" s="106"/>
      <c r="F228" s="106"/>
      <c r="G228" s="106"/>
      <c r="H228" s="118"/>
      <c r="I228" s="118"/>
      <c r="J228" s="106"/>
      <c r="K228" s="106"/>
      <c r="L228" s="106"/>
      <c r="M228" s="116"/>
      <c r="N228" s="110"/>
      <c r="O228" s="106"/>
      <c r="P228" s="106"/>
      <c r="Q228" s="106"/>
      <c r="R228" s="106"/>
      <c r="S228" s="103"/>
    </row>
    <row r="229" spans="1:19" s="22" customFormat="1" ht="16.5" x14ac:dyDescent="0.25">
      <c r="A229" s="23">
        <f>A227+1</f>
        <v>185</v>
      </c>
      <c r="B229" s="111" t="s">
        <v>22</v>
      </c>
      <c r="C229" s="112"/>
      <c r="D229" s="28">
        <f>SUM(E229:R229)</f>
        <v>0</v>
      </c>
      <c r="E229" s="29">
        <v>0</v>
      </c>
      <c r="F229" s="29">
        <v>0</v>
      </c>
      <c r="G229" s="29">
        <v>0</v>
      </c>
      <c r="H229" s="38">
        <v>0</v>
      </c>
      <c r="I229" s="38">
        <v>0</v>
      </c>
      <c r="J229" s="29">
        <v>0</v>
      </c>
      <c r="K229" s="29">
        <v>0</v>
      </c>
      <c r="L229" s="29">
        <v>0</v>
      </c>
      <c r="M229" s="30">
        <v>0</v>
      </c>
      <c r="N229" s="91">
        <v>0</v>
      </c>
      <c r="O229" s="29">
        <v>0</v>
      </c>
      <c r="P229" s="29">
        <v>0</v>
      </c>
      <c r="Q229" s="29">
        <v>0</v>
      </c>
      <c r="R229" s="29">
        <v>0</v>
      </c>
      <c r="S229" s="23" t="s">
        <v>20</v>
      </c>
    </row>
    <row r="230" spans="1:19" s="22" customFormat="1" ht="16.5" x14ac:dyDescent="0.25">
      <c r="A230" s="23">
        <f>A229+1</f>
        <v>186</v>
      </c>
      <c r="B230" s="111" t="s">
        <v>23</v>
      </c>
      <c r="C230" s="112"/>
      <c r="D230" s="28">
        <f t="shared" ref="D230:D232" si="217">SUM(E230:R230)</f>
        <v>18738</v>
      </c>
      <c r="E230" s="29">
        <v>0</v>
      </c>
      <c r="F230" s="29">
        <v>0</v>
      </c>
      <c r="G230" s="29">
        <v>0</v>
      </c>
      <c r="H230" s="38">
        <v>0</v>
      </c>
      <c r="I230" s="38">
        <v>0</v>
      </c>
      <c r="J230" s="29">
        <v>0</v>
      </c>
      <c r="K230" s="29">
        <v>0</v>
      </c>
      <c r="L230" s="29">
        <v>0</v>
      </c>
      <c r="M230" s="30">
        <f>2068+624</f>
        <v>2692</v>
      </c>
      <c r="N230" s="91">
        <f>12324+3722</f>
        <v>16046</v>
      </c>
      <c r="O230" s="29">
        <v>0</v>
      </c>
      <c r="P230" s="29">
        <v>0</v>
      </c>
      <c r="Q230" s="29">
        <v>0</v>
      </c>
      <c r="R230" s="29">
        <v>0</v>
      </c>
      <c r="S230" s="23" t="s">
        <v>20</v>
      </c>
    </row>
    <row r="231" spans="1:19" s="22" customFormat="1" ht="16.5" x14ac:dyDescent="0.25">
      <c r="A231" s="23">
        <f>A230+1</f>
        <v>187</v>
      </c>
      <c r="B231" s="111" t="s">
        <v>24</v>
      </c>
      <c r="C231" s="112"/>
      <c r="D231" s="28">
        <f t="shared" si="217"/>
        <v>12545807</v>
      </c>
      <c r="E231" s="29">
        <v>0</v>
      </c>
      <c r="F231" s="29">
        <v>107434</v>
      </c>
      <c r="G231" s="29">
        <v>760371</v>
      </c>
      <c r="H231" s="38">
        <v>837984</v>
      </c>
      <c r="I231" s="38">
        <v>865458</v>
      </c>
      <c r="J231" s="29">
        <v>883394</v>
      </c>
      <c r="K231" s="29">
        <v>1011991</v>
      </c>
      <c r="L231" s="29">
        <v>944916</v>
      </c>
      <c r="M231" s="30">
        <f>964935+2068+625</f>
        <v>967628</v>
      </c>
      <c r="N231" s="91">
        <v>1370110</v>
      </c>
      <c r="O231" s="29">
        <v>1585524</v>
      </c>
      <c r="P231" s="29">
        <v>1601980</v>
      </c>
      <c r="Q231" s="29">
        <v>1609017</v>
      </c>
      <c r="R231" s="29">
        <v>0</v>
      </c>
      <c r="S231" s="23" t="s">
        <v>20</v>
      </c>
    </row>
    <row r="232" spans="1:19" s="22" customFormat="1" ht="16.5" x14ac:dyDescent="0.25">
      <c r="A232" s="23">
        <f>A231+1</f>
        <v>188</v>
      </c>
      <c r="B232" s="132" t="s">
        <v>25</v>
      </c>
      <c r="C232" s="133"/>
      <c r="D232" s="28">
        <f t="shared" si="217"/>
        <v>0</v>
      </c>
      <c r="E232" s="29">
        <v>0</v>
      </c>
      <c r="F232" s="29">
        <v>0</v>
      </c>
      <c r="G232" s="29">
        <v>0</v>
      </c>
      <c r="H232" s="38">
        <v>0</v>
      </c>
      <c r="I232" s="38">
        <v>0</v>
      </c>
      <c r="J232" s="29">
        <v>0</v>
      </c>
      <c r="K232" s="29">
        <v>0</v>
      </c>
      <c r="L232" s="29">
        <v>0</v>
      </c>
      <c r="M232" s="30">
        <v>0</v>
      </c>
      <c r="N232" s="91">
        <v>0</v>
      </c>
      <c r="O232" s="29">
        <v>0</v>
      </c>
      <c r="P232" s="29">
        <v>0</v>
      </c>
      <c r="Q232" s="29">
        <v>0</v>
      </c>
      <c r="R232" s="29">
        <v>0</v>
      </c>
      <c r="S232" s="23" t="s">
        <v>20</v>
      </c>
    </row>
    <row r="233" spans="1:19" s="22" customFormat="1" ht="16.5" x14ac:dyDescent="0.25">
      <c r="A233" s="102">
        <f>A232+1</f>
        <v>189</v>
      </c>
      <c r="B233" s="139" t="s">
        <v>36</v>
      </c>
      <c r="C233" s="140"/>
      <c r="D233" s="104">
        <f>SUM(E233:R234)</f>
        <v>1798387.72</v>
      </c>
      <c r="E233" s="104">
        <f t="shared" ref="E233:O233" si="218">SUM(E235:E238)</f>
        <v>0</v>
      </c>
      <c r="F233" s="104">
        <f t="shared" si="218"/>
        <v>0</v>
      </c>
      <c r="G233" s="104">
        <f t="shared" si="218"/>
        <v>0</v>
      </c>
      <c r="H233" s="117">
        <f t="shared" si="218"/>
        <v>425700</v>
      </c>
      <c r="I233" s="117">
        <f t="shared" si="218"/>
        <v>396300</v>
      </c>
      <c r="J233" s="104">
        <f t="shared" si="218"/>
        <v>205191.12</v>
      </c>
      <c r="K233" s="104">
        <f t="shared" si="218"/>
        <v>121382.8</v>
      </c>
      <c r="L233" s="104">
        <f t="shared" si="218"/>
        <v>123505.8</v>
      </c>
      <c r="M233" s="115">
        <f t="shared" si="218"/>
        <v>183248</v>
      </c>
      <c r="N233" s="109">
        <f t="shared" si="218"/>
        <v>173300</v>
      </c>
      <c r="O233" s="104">
        <f t="shared" si="218"/>
        <v>57000</v>
      </c>
      <c r="P233" s="104">
        <f t="shared" ref="P233:R233" si="219">SUM(P235:P238)</f>
        <v>57798</v>
      </c>
      <c r="Q233" s="104">
        <f t="shared" si="219"/>
        <v>54962</v>
      </c>
      <c r="R233" s="104">
        <f t="shared" si="219"/>
        <v>0</v>
      </c>
      <c r="S233" s="102">
        <v>37.380000000000003</v>
      </c>
    </row>
    <row r="234" spans="1:19" s="22" customFormat="1" ht="51" customHeight="1" x14ac:dyDescent="0.25">
      <c r="A234" s="103"/>
      <c r="B234" s="137" t="s">
        <v>75</v>
      </c>
      <c r="C234" s="138"/>
      <c r="D234" s="106"/>
      <c r="E234" s="106"/>
      <c r="F234" s="106"/>
      <c r="G234" s="106"/>
      <c r="H234" s="118"/>
      <c r="I234" s="118"/>
      <c r="J234" s="106"/>
      <c r="K234" s="106"/>
      <c r="L234" s="106"/>
      <c r="M234" s="116"/>
      <c r="N234" s="110"/>
      <c r="O234" s="106"/>
      <c r="P234" s="106"/>
      <c r="Q234" s="106"/>
      <c r="R234" s="106"/>
      <c r="S234" s="103"/>
    </row>
    <row r="235" spans="1:19" s="22" customFormat="1" ht="16.5" x14ac:dyDescent="0.25">
      <c r="A235" s="23">
        <f>A233+1</f>
        <v>190</v>
      </c>
      <c r="B235" s="111" t="s">
        <v>22</v>
      </c>
      <c r="C235" s="112"/>
      <c r="D235" s="28">
        <f>SUM(E235:R235)</f>
        <v>0</v>
      </c>
      <c r="E235" s="29">
        <v>0</v>
      </c>
      <c r="F235" s="29">
        <v>0</v>
      </c>
      <c r="G235" s="29">
        <v>0</v>
      </c>
      <c r="H235" s="38">
        <v>0</v>
      </c>
      <c r="I235" s="38">
        <v>0</v>
      </c>
      <c r="J235" s="29">
        <v>0</v>
      </c>
      <c r="K235" s="29">
        <v>0</v>
      </c>
      <c r="L235" s="29">
        <v>0</v>
      </c>
      <c r="M235" s="30">
        <v>0</v>
      </c>
      <c r="N235" s="91">
        <v>0</v>
      </c>
      <c r="O235" s="29">
        <v>0</v>
      </c>
      <c r="P235" s="29">
        <v>0</v>
      </c>
      <c r="Q235" s="29">
        <v>0</v>
      </c>
      <c r="R235" s="29">
        <v>0</v>
      </c>
      <c r="S235" s="23" t="s">
        <v>20</v>
      </c>
    </row>
    <row r="236" spans="1:19" s="22" customFormat="1" ht="16.5" x14ac:dyDescent="0.25">
      <c r="A236" s="23">
        <f>A235+1</f>
        <v>191</v>
      </c>
      <c r="B236" s="111" t="s">
        <v>23</v>
      </c>
      <c r="C236" s="112"/>
      <c r="D236" s="28">
        <f t="shared" ref="D236:D238" si="220">SUM(E236:R236)</f>
        <v>0</v>
      </c>
      <c r="E236" s="29">
        <v>0</v>
      </c>
      <c r="F236" s="29">
        <v>0</v>
      </c>
      <c r="G236" s="29">
        <v>0</v>
      </c>
      <c r="H236" s="38">
        <v>0</v>
      </c>
      <c r="I236" s="38">
        <v>0</v>
      </c>
      <c r="J236" s="29">
        <v>0</v>
      </c>
      <c r="K236" s="29">
        <v>0</v>
      </c>
      <c r="L236" s="29">
        <v>0</v>
      </c>
      <c r="M236" s="30">
        <v>0</v>
      </c>
      <c r="N236" s="91">
        <v>0</v>
      </c>
      <c r="O236" s="29">
        <v>0</v>
      </c>
      <c r="P236" s="29">
        <v>0</v>
      </c>
      <c r="Q236" s="29">
        <v>0</v>
      </c>
      <c r="R236" s="29">
        <v>0</v>
      </c>
      <c r="S236" s="23" t="s">
        <v>20</v>
      </c>
    </row>
    <row r="237" spans="1:19" s="22" customFormat="1" ht="16.5" x14ac:dyDescent="0.25">
      <c r="A237" s="23">
        <f>A236+1</f>
        <v>192</v>
      </c>
      <c r="B237" s="111" t="s">
        <v>24</v>
      </c>
      <c r="C237" s="112"/>
      <c r="D237" s="28">
        <f t="shared" si="220"/>
        <v>1798387.72</v>
      </c>
      <c r="E237" s="29">
        <v>0</v>
      </c>
      <c r="F237" s="29">
        <v>0</v>
      </c>
      <c r="G237" s="29">
        <v>0</v>
      </c>
      <c r="H237" s="38">
        <v>425700</v>
      </c>
      <c r="I237" s="38">
        <v>396300</v>
      </c>
      <c r="J237" s="29">
        <v>205191.12</v>
      </c>
      <c r="K237" s="29">
        <f>125241+180000-155000-28858.2</f>
        <v>121382.8</v>
      </c>
      <c r="L237" s="29">
        <v>123505.8</v>
      </c>
      <c r="M237" s="30">
        <f>200000+600-7352-10000</f>
        <v>183248</v>
      </c>
      <c r="N237" s="91">
        <f>70000+13300+90000</f>
        <v>173300</v>
      </c>
      <c r="O237" s="29">
        <f>32000+25000</f>
        <v>57000</v>
      </c>
      <c r="P237" s="29">
        <v>57798</v>
      </c>
      <c r="Q237" s="29">
        <v>54962</v>
      </c>
      <c r="R237" s="29">
        <v>0</v>
      </c>
      <c r="S237" s="23" t="s">
        <v>20</v>
      </c>
    </row>
    <row r="238" spans="1:19" s="22" customFormat="1" ht="16.5" x14ac:dyDescent="0.25">
      <c r="A238" s="23">
        <f>A237+1</f>
        <v>193</v>
      </c>
      <c r="B238" s="132" t="s">
        <v>25</v>
      </c>
      <c r="C238" s="133"/>
      <c r="D238" s="28">
        <f t="shared" si="220"/>
        <v>0</v>
      </c>
      <c r="E238" s="29">
        <v>0</v>
      </c>
      <c r="F238" s="29">
        <v>0</v>
      </c>
      <c r="G238" s="29">
        <v>0</v>
      </c>
      <c r="H238" s="38">
        <v>0</v>
      </c>
      <c r="I238" s="38">
        <v>0</v>
      </c>
      <c r="J238" s="29">
        <v>0</v>
      </c>
      <c r="K238" s="29">
        <v>0</v>
      </c>
      <c r="L238" s="29">
        <v>0</v>
      </c>
      <c r="M238" s="30">
        <v>0</v>
      </c>
      <c r="N238" s="91">
        <v>0</v>
      </c>
      <c r="O238" s="29">
        <v>0</v>
      </c>
      <c r="P238" s="29">
        <v>0</v>
      </c>
      <c r="Q238" s="29">
        <v>0</v>
      </c>
      <c r="R238" s="29">
        <v>0</v>
      </c>
      <c r="S238" s="23" t="s">
        <v>20</v>
      </c>
    </row>
    <row r="239" spans="1:19" s="22" customFormat="1" ht="15.75" customHeight="1" x14ac:dyDescent="0.25">
      <c r="A239" s="102">
        <f>A238+1</f>
        <v>194</v>
      </c>
      <c r="B239" s="40" t="s">
        <v>76</v>
      </c>
      <c r="C239" s="104">
        <f>SUM(E239:R240)</f>
        <v>192000</v>
      </c>
      <c r="D239" s="160"/>
      <c r="E239" s="104">
        <f t="shared" ref="E239:K239" si="221">SUM(E241:E244)</f>
        <v>0</v>
      </c>
      <c r="F239" s="104">
        <f t="shared" si="221"/>
        <v>0</v>
      </c>
      <c r="G239" s="104">
        <f t="shared" si="221"/>
        <v>0</v>
      </c>
      <c r="H239" s="117">
        <f t="shared" si="221"/>
        <v>192000</v>
      </c>
      <c r="I239" s="117">
        <f t="shared" si="221"/>
        <v>0</v>
      </c>
      <c r="J239" s="104">
        <f t="shared" si="221"/>
        <v>0</v>
      </c>
      <c r="K239" s="104">
        <f t="shared" si="221"/>
        <v>0</v>
      </c>
      <c r="L239" s="141">
        <v>0</v>
      </c>
      <c r="M239" s="145">
        <v>0</v>
      </c>
      <c r="N239" s="143">
        <v>0</v>
      </c>
      <c r="O239" s="141">
        <v>0</v>
      </c>
      <c r="P239" s="141">
        <v>0</v>
      </c>
      <c r="Q239" s="141">
        <v>0</v>
      </c>
      <c r="R239" s="141">
        <v>0</v>
      </c>
      <c r="S239" s="102">
        <v>17.18</v>
      </c>
    </row>
    <row r="240" spans="1:19" s="22" customFormat="1" ht="117" customHeight="1" x14ac:dyDescent="0.25">
      <c r="A240" s="103"/>
      <c r="B240" s="41" t="s">
        <v>37</v>
      </c>
      <c r="C240" s="161"/>
      <c r="D240" s="162"/>
      <c r="E240" s="106"/>
      <c r="F240" s="106"/>
      <c r="G240" s="106"/>
      <c r="H240" s="118"/>
      <c r="I240" s="118"/>
      <c r="J240" s="106"/>
      <c r="K240" s="106"/>
      <c r="L240" s="142"/>
      <c r="M240" s="146"/>
      <c r="N240" s="144"/>
      <c r="O240" s="142"/>
      <c r="P240" s="142"/>
      <c r="Q240" s="142"/>
      <c r="R240" s="142"/>
      <c r="S240" s="103"/>
    </row>
    <row r="241" spans="1:31" s="22" customFormat="1" ht="23.25" customHeight="1" x14ac:dyDescent="0.25">
      <c r="A241" s="23">
        <f>A239+1</f>
        <v>195</v>
      </c>
      <c r="B241" s="111" t="s">
        <v>22</v>
      </c>
      <c r="C241" s="112"/>
      <c r="D241" s="28">
        <f>SUM(E241:R241)</f>
        <v>0</v>
      </c>
      <c r="E241" s="29">
        <v>0</v>
      </c>
      <c r="F241" s="29">
        <v>0</v>
      </c>
      <c r="G241" s="29">
        <v>0</v>
      </c>
      <c r="H241" s="38">
        <v>0</v>
      </c>
      <c r="I241" s="38">
        <v>0</v>
      </c>
      <c r="J241" s="29">
        <v>0</v>
      </c>
      <c r="K241" s="29">
        <v>0</v>
      </c>
      <c r="L241" s="29">
        <v>0</v>
      </c>
      <c r="M241" s="30">
        <v>0</v>
      </c>
      <c r="N241" s="91">
        <v>0</v>
      </c>
      <c r="O241" s="29">
        <v>0</v>
      </c>
      <c r="P241" s="29">
        <v>0</v>
      </c>
      <c r="Q241" s="29">
        <v>0</v>
      </c>
      <c r="R241" s="29">
        <v>0</v>
      </c>
      <c r="S241" s="23" t="s">
        <v>20</v>
      </c>
    </row>
    <row r="242" spans="1:31" s="55" customFormat="1" ht="16.5" x14ac:dyDescent="0.25">
      <c r="A242" s="23">
        <f>A241+1</f>
        <v>196</v>
      </c>
      <c r="B242" s="33" t="s">
        <v>23</v>
      </c>
      <c r="C242" s="104">
        <f>SUM(E242:R242)</f>
        <v>134400</v>
      </c>
      <c r="D242" s="105"/>
      <c r="E242" s="29">
        <v>0</v>
      </c>
      <c r="F242" s="29">
        <v>0</v>
      </c>
      <c r="G242" s="29">
        <v>0</v>
      </c>
      <c r="H242" s="38">
        <v>134400</v>
      </c>
      <c r="I242" s="38">
        <v>0</v>
      </c>
      <c r="J242" s="56">
        <v>0</v>
      </c>
      <c r="K242" s="29">
        <v>0</v>
      </c>
      <c r="L242" s="29">
        <v>0</v>
      </c>
      <c r="M242" s="30">
        <v>0</v>
      </c>
      <c r="N242" s="91">
        <v>0</v>
      </c>
      <c r="O242" s="29">
        <v>0</v>
      </c>
      <c r="P242" s="29">
        <v>0</v>
      </c>
      <c r="Q242" s="29">
        <v>0</v>
      </c>
      <c r="R242" s="29">
        <v>0</v>
      </c>
      <c r="S242" s="23" t="s">
        <v>20</v>
      </c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s="57" customFormat="1" ht="16.5" customHeight="1" x14ac:dyDescent="0.25">
      <c r="A243" s="23">
        <f>A242+1</f>
        <v>197</v>
      </c>
      <c r="B243" s="33" t="s">
        <v>24</v>
      </c>
      <c r="C243" s="104">
        <f>SUM(E243:R243)</f>
        <v>57600</v>
      </c>
      <c r="D243" s="105"/>
      <c r="E243" s="29">
        <v>0</v>
      </c>
      <c r="F243" s="29">
        <v>0</v>
      </c>
      <c r="G243" s="29">
        <v>0</v>
      </c>
      <c r="H243" s="38">
        <v>57600</v>
      </c>
      <c r="I243" s="58">
        <v>0</v>
      </c>
      <c r="J243" s="59">
        <v>0</v>
      </c>
      <c r="K243" s="60">
        <v>0</v>
      </c>
      <c r="L243" s="29">
        <v>0</v>
      </c>
      <c r="M243" s="30">
        <v>0</v>
      </c>
      <c r="N243" s="91">
        <v>0</v>
      </c>
      <c r="O243" s="29">
        <v>0</v>
      </c>
      <c r="P243" s="29">
        <v>0</v>
      </c>
      <c r="Q243" s="29">
        <v>0</v>
      </c>
      <c r="R243" s="29">
        <v>0</v>
      </c>
      <c r="S243" s="23" t="s">
        <v>20</v>
      </c>
    </row>
    <row r="244" spans="1:31" s="22" customFormat="1" ht="16.5" customHeight="1" x14ac:dyDescent="0.25">
      <c r="A244" s="23">
        <f>A243+1</f>
        <v>198</v>
      </c>
      <c r="B244" s="111" t="s">
        <v>25</v>
      </c>
      <c r="C244" s="112"/>
      <c r="D244" s="42">
        <f>SUM(E244:R244)</f>
        <v>0</v>
      </c>
      <c r="E244" s="43">
        <v>0</v>
      </c>
      <c r="F244" s="43">
        <v>0</v>
      </c>
      <c r="G244" s="43">
        <v>0</v>
      </c>
      <c r="H244" s="44">
        <v>0</v>
      </c>
      <c r="I244" s="44">
        <v>0</v>
      </c>
      <c r="J244" s="61">
        <v>0</v>
      </c>
      <c r="K244" s="43">
        <v>0</v>
      </c>
      <c r="L244" s="43">
        <v>0</v>
      </c>
      <c r="M244" s="45">
        <v>0</v>
      </c>
      <c r="N244" s="93">
        <v>0</v>
      </c>
      <c r="O244" s="43">
        <v>0</v>
      </c>
      <c r="P244" s="43">
        <v>0</v>
      </c>
      <c r="Q244" s="43">
        <v>0</v>
      </c>
      <c r="R244" s="43">
        <v>0</v>
      </c>
      <c r="S244" s="23" t="s">
        <v>20</v>
      </c>
    </row>
    <row r="245" spans="1:31" s="22" customFormat="1" ht="92.25" customHeight="1" x14ac:dyDescent="0.25">
      <c r="A245" s="23">
        <f>A244+1</f>
        <v>199</v>
      </c>
      <c r="B245" s="62" t="s">
        <v>77</v>
      </c>
      <c r="C245" s="33"/>
      <c r="D245" s="42">
        <f>SUM(E245:R245)</f>
        <v>64565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43">
        <f t="shared" ref="J245:R245" si="222">J246</f>
        <v>5000</v>
      </c>
      <c r="K245" s="43">
        <f t="shared" si="222"/>
        <v>0</v>
      </c>
      <c r="L245" s="43">
        <f t="shared" si="222"/>
        <v>0</v>
      </c>
      <c r="M245" s="45">
        <f t="shared" si="222"/>
        <v>0</v>
      </c>
      <c r="N245" s="93">
        <f t="shared" si="222"/>
        <v>0</v>
      </c>
      <c r="O245" s="43">
        <f t="shared" si="222"/>
        <v>20000</v>
      </c>
      <c r="P245" s="43">
        <f t="shared" si="222"/>
        <v>20280</v>
      </c>
      <c r="Q245" s="43">
        <f t="shared" si="222"/>
        <v>19285</v>
      </c>
      <c r="R245" s="43">
        <f t="shared" si="222"/>
        <v>0</v>
      </c>
      <c r="S245" s="23">
        <v>38.39</v>
      </c>
    </row>
    <row r="246" spans="1:31" s="22" customFormat="1" ht="18" customHeight="1" x14ac:dyDescent="0.25">
      <c r="A246" s="23">
        <f>A245+1</f>
        <v>200</v>
      </c>
      <c r="B246" s="64" t="s">
        <v>24</v>
      </c>
      <c r="C246" s="33"/>
      <c r="D246" s="42">
        <f>SUM(E246:R246)</f>
        <v>64565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65">
        <v>5000</v>
      </c>
      <c r="K246" s="43">
        <v>0</v>
      </c>
      <c r="L246" s="43">
        <f>5000-5000</f>
        <v>0</v>
      </c>
      <c r="M246" s="66">
        <f>5000-5000</f>
        <v>0</v>
      </c>
      <c r="N246" s="93">
        <f>20000-20000</f>
        <v>0</v>
      </c>
      <c r="O246" s="43">
        <v>20000</v>
      </c>
      <c r="P246" s="65">
        <v>20280</v>
      </c>
      <c r="Q246" s="65">
        <v>19285</v>
      </c>
      <c r="R246" s="65">
        <v>0</v>
      </c>
      <c r="S246" s="67"/>
    </row>
    <row r="247" spans="1:31" s="68" customFormat="1" ht="31.5" customHeight="1" x14ac:dyDescent="0.25">
      <c r="A247" s="147" t="s">
        <v>78</v>
      </c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9"/>
      <c r="T247" s="69"/>
    </row>
    <row r="248" spans="1:31" s="22" customFormat="1" ht="105.75" customHeight="1" x14ac:dyDescent="0.25">
      <c r="A248" s="23">
        <f>A246+1</f>
        <v>201</v>
      </c>
      <c r="B248" s="119" t="s">
        <v>79</v>
      </c>
      <c r="C248" s="121"/>
      <c r="D248" s="28">
        <f>SUM(E248:R248)</f>
        <v>1756277</v>
      </c>
      <c r="E248" s="28">
        <f t="shared" ref="E248:R248" si="223">SUM(E249:E252)</f>
        <v>181200</v>
      </c>
      <c r="F248" s="28">
        <f t="shared" si="223"/>
        <v>40000</v>
      </c>
      <c r="G248" s="28">
        <f t="shared" si="223"/>
        <v>54200</v>
      </c>
      <c r="H248" s="37">
        <f t="shared" si="223"/>
        <v>62912</v>
      </c>
      <c r="I248" s="37">
        <f t="shared" si="223"/>
        <v>88473</v>
      </c>
      <c r="J248" s="28">
        <f t="shared" si="223"/>
        <v>54000</v>
      </c>
      <c r="K248" s="28">
        <f t="shared" si="223"/>
        <v>44000</v>
      </c>
      <c r="L248" s="28">
        <f t="shared" si="223"/>
        <v>86000</v>
      </c>
      <c r="M248" s="35">
        <f t="shared" si="223"/>
        <v>48104</v>
      </c>
      <c r="N248" s="92">
        <f t="shared" si="223"/>
        <v>55000</v>
      </c>
      <c r="O248" s="28">
        <f t="shared" si="223"/>
        <v>350000</v>
      </c>
      <c r="P248" s="28">
        <f t="shared" si="223"/>
        <v>354900</v>
      </c>
      <c r="Q248" s="28">
        <f t="shared" si="223"/>
        <v>337488</v>
      </c>
      <c r="R248" s="28">
        <f t="shared" si="223"/>
        <v>0</v>
      </c>
      <c r="S248" s="23" t="s">
        <v>27</v>
      </c>
      <c r="T248" s="69"/>
    </row>
    <row r="249" spans="1:31" s="22" customFormat="1" ht="17.25" customHeight="1" x14ac:dyDescent="0.25">
      <c r="A249" s="23">
        <f>A248+1</f>
        <v>202</v>
      </c>
      <c r="B249" s="111" t="s">
        <v>22</v>
      </c>
      <c r="C249" s="112"/>
      <c r="D249" s="28">
        <f>SUM(E249:R249)</f>
        <v>0</v>
      </c>
      <c r="E249" s="29">
        <f t="shared" ref="E249:K252" si="224">E255</f>
        <v>0</v>
      </c>
      <c r="F249" s="29">
        <f t="shared" si="224"/>
        <v>0</v>
      </c>
      <c r="G249" s="29">
        <f t="shared" si="224"/>
        <v>0</v>
      </c>
      <c r="H249" s="38">
        <f t="shared" si="224"/>
        <v>0</v>
      </c>
      <c r="I249" s="38">
        <f t="shared" si="224"/>
        <v>0</v>
      </c>
      <c r="J249" s="29">
        <f t="shared" si="224"/>
        <v>0</v>
      </c>
      <c r="K249" s="29">
        <f t="shared" si="224"/>
        <v>0</v>
      </c>
      <c r="L249" s="29">
        <v>0</v>
      </c>
      <c r="M249" s="30">
        <v>0</v>
      </c>
      <c r="N249" s="91">
        <v>0</v>
      </c>
      <c r="O249" s="29">
        <v>0</v>
      </c>
      <c r="P249" s="29">
        <v>0</v>
      </c>
      <c r="Q249" s="29">
        <v>0</v>
      </c>
      <c r="R249" s="29">
        <v>0</v>
      </c>
      <c r="S249" s="23" t="s">
        <v>20</v>
      </c>
      <c r="T249" s="69"/>
    </row>
    <row r="250" spans="1:31" s="22" customFormat="1" ht="16.5" x14ac:dyDescent="0.25">
      <c r="A250" s="23">
        <f>A249+1</f>
        <v>203</v>
      </c>
      <c r="B250" s="111" t="s">
        <v>23</v>
      </c>
      <c r="C250" s="112"/>
      <c r="D250" s="28">
        <f t="shared" ref="D250:D252" si="225">SUM(E250:R250)</f>
        <v>176400</v>
      </c>
      <c r="E250" s="29">
        <f t="shared" si="224"/>
        <v>81200</v>
      </c>
      <c r="F250" s="29">
        <f t="shared" si="224"/>
        <v>0</v>
      </c>
      <c r="G250" s="29">
        <f t="shared" si="224"/>
        <v>15700</v>
      </c>
      <c r="H250" s="38">
        <f t="shared" si="224"/>
        <v>21300</v>
      </c>
      <c r="I250" s="38">
        <f t="shared" si="224"/>
        <v>44200</v>
      </c>
      <c r="J250" s="29">
        <f t="shared" si="224"/>
        <v>14000</v>
      </c>
      <c r="K250" s="29">
        <f t="shared" si="224"/>
        <v>0</v>
      </c>
      <c r="L250" s="29">
        <v>0</v>
      </c>
      <c r="M250" s="30">
        <v>0</v>
      </c>
      <c r="N250" s="91">
        <v>0</v>
      </c>
      <c r="O250" s="29">
        <v>0</v>
      </c>
      <c r="P250" s="29">
        <v>0</v>
      </c>
      <c r="Q250" s="29">
        <v>0</v>
      </c>
      <c r="R250" s="29">
        <v>0</v>
      </c>
      <c r="S250" s="23" t="s">
        <v>20</v>
      </c>
    </row>
    <row r="251" spans="1:31" s="22" customFormat="1" ht="16.5" x14ac:dyDescent="0.25">
      <c r="A251" s="23">
        <f>A250+1</f>
        <v>204</v>
      </c>
      <c r="B251" s="111" t="s">
        <v>24</v>
      </c>
      <c r="C251" s="112"/>
      <c r="D251" s="28">
        <f t="shared" si="225"/>
        <v>1579877</v>
      </c>
      <c r="E251" s="29">
        <f t="shared" si="224"/>
        <v>100000</v>
      </c>
      <c r="F251" s="29">
        <f t="shared" si="224"/>
        <v>40000</v>
      </c>
      <c r="G251" s="29">
        <f t="shared" si="224"/>
        <v>38500</v>
      </c>
      <c r="H251" s="38">
        <f t="shared" si="224"/>
        <v>41612</v>
      </c>
      <c r="I251" s="38">
        <f t="shared" si="224"/>
        <v>44273</v>
      </c>
      <c r="J251" s="29">
        <f t="shared" si="224"/>
        <v>40000</v>
      </c>
      <c r="K251" s="29">
        <f t="shared" si="224"/>
        <v>44000</v>
      </c>
      <c r="L251" s="29">
        <f t="shared" ref="L251:R251" si="226">L257</f>
        <v>86000</v>
      </c>
      <c r="M251" s="30">
        <f t="shared" si="226"/>
        <v>48104</v>
      </c>
      <c r="N251" s="91">
        <f t="shared" si="226"/>
        <v>55000</v>
      </c>
      <c r="O251" s="29">
        <f t="shared" si="226"/>
        <v>350000</v>
      </c>
      <c r="P251" s="29">
        <f t="shared" si="226"/>
        <v>354900</v>
      </c>
      <c r="Q251" s="29">
        <f t="shared" si="226"/>
        <v>337488</v>
      </c>
      <c r="R251" s="29">
        <f t="shared" si="226"/>
        <v>0</v>
      </c>
      <c r="S251" s="23" t="s">
        <v>20</v>
      </c>
    </row>
    <row r="252" spans="1:31" s="22" customFormat="1" ht="16.5" x14ac:dyDescent="0.25">
      <c r="A252" s="23">
        <f>A251+1</f>
        <v>205</v>
      </c>
      <c r="B252" s="111" t="s">
        <v>25</v>
      </c>
      <c r="C252" s="112"/>
      <c r="D252" s="28">
        <f t="shared" si="225"/>
        <v>0</v>
      </c>
      <c r="E252" s="29">
        <f t="shared" si="224"/>
        <v>0</v>
      </c>
      <c r="F252" s="29">
        <f t="shared" si="224"/>
        <v>0</v>
      </c>
      <c r="G252" s="29">
        <f t="shared" si="224"/>
        <v>0</v>
      </c>
      <c r="H252" s="38">
        <f t="shared" si="224"/>
        <v>0</v>
      </c>
      <c r="I252" s="38">
        <f t="shared" si="224"/>
        <v>0</v>
      </c>
      <c r="J252" s="29">
        <f t="shared" si="224"/>
        <v>0</v>
      </c>
      <c r="K252" s="29">
        <f t="shared" si="224"/>
        <v>0</v>
      </c>
      <c r="L252" s="29">
        <v>0</v>
      </c>
      <c r="M252" s="30">
        <v>0</v>
      </c>
      <c r="N252" s="91">
        <v>0</v>
      </c>
      <c r="O252" s="29">
        <v>0</v>
      </c>
      <c r="P252" s="29">
        <v>0</v>
      </c>
      <c r="Q252" s="29">
        <v>0</v>
      </c>
      <c r="R252" s="29">
        <v>0</v>
      </c>
      <c r="S252" s="23" t="s">
        <v>20</v>
      </c>
    </row>
    <row r="253" spans="1:31" s="22" customFormat="1" ht="16.5" x14ac:dyDescent="0.25">
      <c r="A253" s="119" t="s">
        <v>26</v>
      </c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1"/>
    </row>
    <row r="254" spans="1:31" s="22" customFormat="1" ht="84" customHeight="1" x14ac:dyDescent="0.25">
      <c r="A254" s="23">
        <f>A252+1</f>
        <v>206</v>
      </c>
      <c r="B254" s="102" t="s">
        <v>26</v>
      </c>
      <c r="C254" s="158"/>
      <c r="D254" s="28">
        <f>SUM(E254:R254)</f>
        <v>1756277</v>
      </c>
      <c r="E254" s="28">
        <f t="shared" ref="E254:O254" si="227">SUM(E255:E258)</f>
        <v>181200</v>
      </c>
      <c r="F254" s="28">
        <f t="shared" si="227"/>
        <v>40000</v>
      </c>
      <c r="G254" s="28">
        <f t="shared" si="227"/>
        <v>54200</v>
      </c>
      <c r="H254" s="28">
        <f t="shared" si="227"/>
        <v>62912</v>
      </c>
      <c r="I254" s="28">
        <f t="shared" si="227"/>
        <v>88473</v>
      </c>
      <c r="J254" s="28">
        <f t="shared" si="227"/>
        <v>54000</v>
      </c>
      <c r="K254" s="28">
        <f t="shared" si="227"/>
        <v>44000</v>
      </c>
      <c r="L254" s="28">
        <f t="shared" si="227"/>
        <v>86000</v>
      </c>
      <c r="M254" s="35">
        <f t="shared" si="227"/>
        <v>48104</v>
      </c>
      <c r="N254" s="92">
        <f t="shared" si="227"/>
        <v>55000</v>
      </c>
      <c r="O254" s="28">
        <f t="shared" si="227"/>
        <v>350000</v>
      </c>
      <c r="P254" s="28">
        <f t="shared" ref="P254:R254" si="228">SUM(P255:P258)</f>
        <v>354900</v>
      </c>
      <c r="Q254" s="28">
        <f t="shared" si="228"/>
        <v>337488</v>
      </c>
      <c r="R254" s="28">
        <f t="shared" si="228"/>
        <v>0</v>
      </c>
      <c r="S254" s="23" t="s">
        <v>20</v>
      </c>
    </row>
    <row r="255" spans="1:31" s="22" customFormat="1" ht="16.5" x14ac:dyDescent="0.25">
      <c r="A255" s="23">
        <f>A254+1</f>
        <v>207</v>
      </c>
      <c r="B255" s="111" t="s">
        <v>22</v>
      </c>
      <c r="C255" s="112"/>
      <c r="D255" s="28">
        <f t="shared" ref="D255:D258" si="229">SUM(E255:R255)</f>
        <v>0</v>
      </c>
      <c r="E255" s="29">
        <f t="shared" ref="E255:O255" si="230">E261+E267+E273+E279</f>
        <v>0</v>
      </c>
      <c r="F255" s="29">
        <f t="shared" si="230"/>
        <v>0</v>
      </c>
      <c r="G255" s="29">
        <f t="shared" si="230"/>
        <v>0</v>
      </c>
      <c r="H255" s="38">
        <f t="shared" si="230"/>
        <v>0</v>
      </c>
      <c r="I255" s="38">
        <f t="shared" si="230"/>
        <v>0</v>
      </c>
      <c r="J255" s="29">
        <f t="shared" si="230"/>
        <v>0</v>
      </c>
      <c r="K255" s="29">
        <f t="shared" si="230"/>
        <v>0</v>
      </c>
      <c r="L255" s="29">
        <f t="shared" si="230"/>
        <v>0</v>
      </c>
      <c r="M255" s="30">
        <f t="shared" si="230"/>
        <v>0</v>
      </c>
      <c r="N255" s="91">
        <f t="shared" si="230"/>
        <v>0</v>
      </c>
      <c r="O255" s="29">
        <f t="shared" si="230"/>
        <v>0</v>
      </c>
      <c r="P255" s="29">
        <f t="shared" ref="P255:R255" si="231">P261+P267+P273+P279</f>
        <v>0</v>
      </c>
      <c r="Q255" s="29">
        <f t="shared" si="231"/>
        <v>0</v>
      </c>
      <c r="R255" s="29">
        <f t="shared" si="231"/>
        <v>0</v>
      </c>
      <c r="S255" s="23" t="s">
        <v>20</v>
      </c>
    </row>
    <row r="256" spans="1:31" s="22" customFormat="1" ht="16.5" x14ac:dyDescent="0.25">
      <c r="A256" s="23">
        <f>A255+1</f>
        <v>208</v>
      </c>
      <c r="B256" s="111" t="s">
        <v>23</v>
      </c>
      <c r="C256" s="112"/>
      <c r="D256" s="28">
        <f t="shared" si="229"/>
        <v>176400</v>
      </c>
      <c r="E256" s="29">
        <f t="shared" ref="E256:I258" si="232">E262+E268+E274+E280</f>
        <v>81200</v>
      </c>
      <c r="F256" s="29">
        <f t="shared" si="232"/>
        <v>0</v>
      </c>
      <c r="G256" s="29">
        <f t="shared" si="232"/>
        <v>15700</v>
      </c>
      <c r="H256" s="38">
        <f t="shared" si="232"/>
        <v>21300</v>
      </c>
      <c r="I256" s="38">
        <f t="shared" si="232"/>
        <v>44200</v>
      </c>
      <c r="J256" s="29">
        <f>J262+J268+J274+J280+J288</f>
        <v>14000</v>
      </c>
      <c r="K256" s="29">
        <f t="shared" ref="K256:R256" si="233">K262+K268+K274+K280</f>
        <v>0</v>
      </c>
      <c r="L256" s="29">
        <f t="shared" si="233"/>
        <v>0</v>
      </c>
      <c r="M256" s="30">
        <f t="shared" si="233"/>
        <v>0</v>
      </c>
      <c r="N256" s="91">
        <f t="shared" si="233"/>
        <v>0</v>
      </c>
      <c r="O256" s="29">
        <f t="shared" si="233"/>
        <v>0</v>
      </c>
      <c r="P256" s="29">
        <f t="shared" si="233"/>
        <v>0</v>
      </c>
      <c r="Q256" s="29">
        <f t="shared" si="233"/>
        <v>0</v>
      </c>
      <c r="R256" s="29">
        <f t="shared" si="233"/>
        <v>0</v>
      </c>
      <c r="S256" s="23" t="s">
        <v>20</v>
      </c>
      <c r="W256" s="70"/>
    </row>
    <row r="257" spans="1:19" s="22" customFormat="1" ht="16.5" x14ac:dyDescent="0.25">
      <c r="A257" s="23">
        <f>A256+1</f>
        <v>209</v>
      </c>
      <c r="B257" s="111" t="s">
        <v>24</v>
      </c>
      <c r="C257" s="112"/>
      <c r="D257" s="28">
        <f t="shared" si="229"/>
        <v>1579877</v>
      </c>
      <c r="E257" s="29">
        <f t="shared" si="232"/>
        <v>100000</v>
      </c>
      <c r="F257" s="29">
        <f t="shared" si="232"/>
        <v>40000</v>
      </c>
      <c r="G257" s="29">
        <f t="shared" si="232"/>
        <v>38500</v>
      </c>
      <c r="H257" s="38">
        <f t="shared" si="232"/>
        <v>41612</v>
      </c>
      <c r="I257" s="38">
        <f t="shared" si="232"/>
        <v>44273</v>
      </c>
      <c r="J257" s="29">
        <f>J263+J269+J275+J281+J289</f>
        <v>40000</v>
      </c>
      <c r="K257" s="29">
        <f t="shared" ref="K257:R257" si="234">K263+K269+K275+K281+K289</f>
        <v>44000</v>
      </c>
      <c r="L257" s="29">
        <f t="shared" si="234"/>
        <v>86000</v>
      </c>
      <c r="M257" s="30">
        <f t="shared" si="234"/>
        <v>48104</v>
      </c>
      <c r="N257" s="91">
        <f>N263+N269+N275+N281+N289</f>
        <v>55000</v>
      </c>
      <c r="O257" s="29">
        <f t="shared" si="234"/>
        <v>350000</v>
      </c>
      <c r="P257" s="29">
        <f t="shared" si="234"/>
        <v>354900</v>
      </c>
      <c r="Q257" s="29">
        <f t="shared" si="234"/>
        <v>337488</v>
      </c>
      <c r="R257" s="29">
        <f t="shared" si="234"/>
        <v>0</v>
      </c>
      <c r="S257" s="23" t="s">
        <v>20</v>
      </c>
    </row>
    <row r="258" spans="1:19" s="22" customFormat="1" ht="16.5" x14ac:dyDescent="0.25">
      <c r="A258" s="23">
        <f>A257+1</f>
        <v>210</v>
      </c>
      <c r="B258" s="132" t="s">
        <v>25</v>
      </c>
      <c r="C258" s="133"/>
      <c r="D258" s="28">
        <f t="shared" si="229"/>
        <v>0</v>
      </c>
      <c r="E258" s="29">
        <f t="shared" si="232"/>
        <v>0</v>
      </c>
      <c r="F258" s="29">
        <f t="shared" si="232"/>
        <v>0</v>
      </c>
      <c r="G258" s="29">
        <f t="shared" si="232"/>
        <v>0</v>
      </c>
      <c r="H258" s="38">
        <f t="shared" si="232"/>
        <v>0</v>
      </c>
      <c r="I258" s="38">
        <f t="shared" si="232"/>
        <v>0</v>
      </c>
      <c r="J258" s="29">
        <f>J264+J270+J276+J282</f>
        <v>0</v>
      </c>
      <c r="K258" s="29">
        <f>K264+K270+K276+K282</f>
        <v>0</v>
      </c>
      <c r="L258" s="29">
        <v>0</v>
      </c>
      <c r="M258" s="30">
        <f t="shared" ref="M258:R258" si="235">M264+M270+M276+M282</f>
        <v>0</v>
      </c>
      <c r="N258" s="91">
        <f t="shared" si="235"/>
        <v>0</v>
      </c>
      <c r="O258" s="29">
        <f t="shared" si="235"/>
        <v>0</v>
      </c>
      <c r="P258" s="29">
        <f t="shared" si="235"/>
        <v>0</v>
      </c>
      <c r="Q258" s="29">
        <f t="shared" si="235"/>
        <v>0</v>
      </c>
      <c r="R258" s="29">
        <f t="shared" si="235"/>
        <v>0</v>
      </c>
      <c r="S258" s="23" t="s">
        <v>20</v>
      </c>
    </row>
    <row r="259" spans="1:19" s="98" customFormat="1" ht="16.5" x14ac:dyDescent="0.25">
      <c r="A259" s="150">
        <f>A258+1</f>
        <v>211</v>
      </c>
      <c r="B259" s="152" t="s">
        <v>46</v>
      </c>
      <c r="C259" s="153"/>
      <c r="D259" s="109">
        <f>SUM(E259:R260)</f>
        <v>405953</v>
      </c>
      <c r="E259" s="109">
        <f t="shared" ref="E259:O259" si="236">SUM(E261:E264)</f>
        <v>50200</v>
      </c>
      <c r="F259" s="109">
        <f t="shared" si="236"/>
        <v>40000</v>
      </c>
      <c r="G259" s="109">
        <f t="shared" si="236"/>
        <v>15600</v>
      </c>
      <c r="H259" s="109">
        <f t="shared" si="236"/>
        <v>22700</v>
      </c>
      <c r="I259" s="109">
        <f t="shared" si="236"/>
        <v>35219</v>
      </c>
      <c r="J259" s="109">
        <f t="shared" si="236"/>
        <v>20000</v>
      </c>
      <c r="K259" s="109">
        <f t="shared" si="236"/>
        <v>10000</v>
      </c>
      <c r="L259" s="109">
        <f t="shared" si="236"/>
        <v>55000</v>
      </c>
      <c r="M259" s="109">
        <f t="shared" si="236"/>
        <v>8104</v>
      </c>
      <c r="N259" s="109">
        <f t="shared" si="236"/>
        <v>30000</v>
      </c>
      <c r="O259" s="109">
        <f t="shared" si="236"/>
        <v>40000</v>
      </c>
      <c r="P259" s="109">
        <f t="shared" ref="P259:R259" si="237">SUM(P261:P264)</f>
        <v>40560</v>
      </c>
      <c r="Q259" s="109">
        <f t="shared" si="237"/>
        <v>38570</v>
      </c>
      <c r="R259" s="109">
        <f t="shared" si="237"/>
        <v>0</v>
      </c>
      <c r="S259" s="150" t="s">
        <v>112</v>
      </c>
    </row>
    <row r="260" spans="1:19" s="98" customFormat="1" ht="96.75" customHeight="1" x14ac:dyDescent="0.25">
      <c r="A260" s="151"/>
      <c r="B260" s="154" t="s">
        <v>80</v>
      </c>
      <c r="C260" s="155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51"/>
    </row>
    <row r="261" spans="1:19" s="22" customFormat="1" ht="16.5" x14ac:dyDescent="0.25">
      <c r="A261" s="23">
        <f>A259+1</f>
        <v>212</v>
      </c>
      <c r="B261" s="111" t="s">
        <v>22</v>
      </c>
      <c r="C261" s="112"/>
      <c r="D261" s="37">
        <f>SUM(E261:R261)</f>
        <v>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29">
        <v>0</v>
      </c>
      <c r="K261" s="29">
        <v>0</v>
      </c>
      <c r="L261" s="29">
        <v>0</v>
      </c>
      <c r="M261" s="30">
        <v>0</v>
      </c>
      <c r="N261" s="91">
        <v>0</v>
      </c>
      <c r="O261" s="29">
        <v>0</v>
      </c>
      <c r="P261" s="29">
        <v>0</v>
      </c>
      <c r="Q261" s="29">
        <v>0</v>
      </c>
      <c r="R261" s="29">
        <v>0</v>
      </c>
      <c r="S261" s="23" t="s">
        <v>20</v>
      </c>
    </row>
    <row r="262" spans="1:19" s="46" customFormat="1" ht="16.5" x14ac:dyDescent="0.25">
      <c r="A262" s="23">
        <f>A261+1</f>
        <v>213</v>
      </c>
      <c r="B262" s="111" t="s">
        <v>23</v>
      </c>
      <c r="C262" s="112"/>
      <c r="D262" s="37">
        <f t="shared" ref="D262:D264" si="238">SUM(E262:R262)</f>
        <v>59700</v>
      </c>
      <c r="E262" s="38">
        <v>16600</v>
      </c>
      <c r="F262" s="38">
        <v>0</v>
      </c>
      <c r="G262" s="38">
        <v>7800</v>
      </c>
      <c r="H262" s="38">
        <v>7700</v>
      </c>
      <c r="I262" s="38">
        <v>17600</v>
      </c>
      <c r="J262" s="29">
        <v>10000</v>
      </c>
      <c r="K262" s="29">
        <v>0</v>
      </c>
      <c r="L262" s="29">
        <v>0</v>
      </c>
      <c r="M262" s="30">
        <v>0</v>
      </c>
      <c r="N262" s="91">
        <v>0</v>
      </c>
      <c r="O262" s="29">
        <v>0</v>
      </c>
      <c r="P262" s="29">
        <v>0</v>
      </c>
      <c r="Q262" s="29">
        <v>0</v>
      </c>
      <c r="R262" s="29">
        <v>0</v>
      </c>
      <c r="S262" s="23" t="s">
        <v>20</v>
      </c>
    </row>
    <row r="263" spans="1:19" s="22" customFormat="1" ht="16.5" x14ac:dyDescent="0.25">
      <c r="A263" s="23">
        <f>A262+1</f>
        <v>214</v>
      </c>
      <c r="B263" s="111" t="s">
        <v>24</v>
      </c>
      <c r="C263" s="112"/>
      <c r="D263" s="37">
        <f t="shared" si="238"/>
        <v>346253</v>
      </c>
      <c r="E263" s="38">
        <v>33600</v>
      </c>
      <c r="F263" s="38">
        <v>40000</v>
      </c>
      <c r="G263" s="38">
        <v>7800</v>
      </c>
      <c r="H263" s="38">
        <v>15000</v>
      </c>
      <c r="I263" s="38">
        <v>17619</v>
      </c>
      <c r="J263" s="29">
        <v>10000</v>
      </c>
      <c r="K263" s="29">
        <v>10000</v>
      </c>
      <c r="L263" s="29">
        <f>10000+45000</f>
        <v>55000</v>
      </c>
      <c r="M263" s="30">
        <f>20000-11896</f>
        <v>8104</v>
      </c>
      <c r="N263" s="91">
        <v>30000</v>
      </c>
      <c r="O263" s="29">
        <v>40000</v>
      </c>
      <c r="P263" s="29">
        <v>40560</v>
      </c>
      <c r="Q263" s="29">
        <v>38570</v>
      </c>
      <c r="R263" s="29">
        <v>0</v>
      </c>
      <c r="S263" s="23" t="s">
        <v>20</v>
      </c>
    </row>
    <row r="264" spans="1:19" s="22" customFormat="1" ht="16.5" x14ac:dyDescent="0.25">
      <c r="A264" s="23">
        <f>A263+1</f>
        <v>215</v>
      </c>
      <c r="B264" s="111" t="s">
        <v>25</v>
      </c>
      <c r="C264" s="112"/>
      <c r="D264" s="37">
        <f t="shared" si="238"/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v>0</v>
      </c>
      <c r="K264" s="29">
        <v>0</v>
      </c>
      <c r="L264" s="29">
        <v>0</v>
      </c>
      <c r="M264" s="30">
        <v>0</v>
      </c>
      <c r="N264" s="91">
        <v>0</v>
      </c>
      <c r="O264" s="29">
        <v>0</v>
      </c>
      <c r="P264" s="29">
        <v>0</v>
      </c>
      <c r="Q264" s="29">
        <v>0</v>
      </c>
      <c r="R264" s="29">
        <v>0</v>
      </c>
      <c r="S264" s="23" t="s">
        <v>20</v>
      </c>
    </row>
    <row r="265" spans="1:19" s="98" customFormat="1" ht="16.5" x14ac:dyDescent="0.25">
      <c r="A265" s="150">
        <f>A264+1</f>
        <v>216</v>
      </c>
      <c r="B265" s="152" t="s">
        <v>34</v>
      </c>
      <c r="C265" s="153"/>
      <c r="D265" s="109">
        <f>SUM(E265:R266)</f>
        <v>142466</v>
      </c>
      <c r="E265" s="109">
        <f>SUM(E267:E270)</f>
        <v>33200</v>
      </c>
      <c r="F265" s="109">
        <f>SUM(F267:F270)</f>
        <v>0</v>
      </c>
      <c r="G265" s="109">
        <f>SUM(G267:G270)</f>
        <v>15800</v>
      </c>
      <c r="H265" s="109">
        <f>SUM(H267:H270)</f>
        <v>40212</v>
      </c>
      <c r="I265" s="109">
        <f>SUM(I267:I270)</f>
        <v>53254</v>
      </c>
      <c r="J265" s="109">
        <f>J269</f>
        <v>0</v>
      </c>
      <c r="K265" s="109">
        <f>SUM(K267:K270)</f>
        <v>0</v>
      </c>
      <c r="L265" s="143">
        <v>0</v>
      </c>
      <c r="M265" s="143">
        <v>0</v>
      </c>
      <c r="N265" s="143">
        <v>0</v>
      </c>
      <c r="O265" s="143">
        <v>0</v>
      </c>
      <c r="P265" s="143">
        <v>0</v>
      </c>
      <c r="Q265" s="143">
        <v>0</v>
      </c>
      <c r="R265" s="143">
        <v>0</v>
      </c>
      <c r="S265" s="150" t="s">
        <v>112</v>
      </c>
    </row>
    <row r="266" spans="1:19" s="98" customFormat="1" ht="156.75" customHeight="1" x14ac:dyDescent="0.25">
      <c r="A266" s="151"/>
      <c r="B266" s="154" t="s">
        <v>81</v>
      </c>
      <c r="C266" s="155"/>
      <c r="D266" s="110"/>
      <c r="E266" s="110"/>
      <c r="F266" s="110"/>
      <c r="G266" s="110"/>
      <c r="H266" s="110"/>
      <c r="I266" s="110"/>
      <c r="J266" s="110"/>
      <c r="K266" s="110"/>
      <c r="L266" s="144"/>
      <c r="M266" s="144"/>
      <c r="N266" s="144"/>
      <c r="O266" s="144"/>
      <c r="P266" s="144"/>
      <c r="Q266" s="144"/>
      <c r="R266" s="144"/>
      <c r="S266" s="151"/>
    </row>
    <row r="267" spans="1:19" s="22" customFormat="1" ht="16.5" x14ac:dyDescent="0.25">
      <c r="A267" s="23">
        <f>A265+1</f>
        <v>217</v>
      </c>
      <c r="B267" s="111" t="s">
        <v>22</v>
      </c>
      <c r="C267" s="112"/>
      <c r="D267" s="28">
        <f>SUM(E267:R267)</f>
        <v>0</v>
      </c>
      <c r="E267" s="29">
        <v>0</v>
      </c>
      <c r="F267" s="29">
        <v>0</v>
      </c>
      <c r="G267" s="29">
        <v>0</v>
      </c>
      <c r="H267" s="38">
        <v>0</v>
      </c>
      <c r="I267" s="38">
        <v>0</v>
      </c>
      <c r="J267" s="29">
        <v>0</v>
      </c>
      <c r="K267" s="29">
        <v>0</v>
      </c>
      <c r="L267" s="29">
        <v>0</v>
      </c>
      <c r="M267" s="30">
        <v>0</v>
      </c>
      <c r="N267" s="91">
        <v>0</v>
      </c>
      <c r="O267" s="29">
        <v>0</v>
      </c>
      <c r="P267" s="29">
        <v>0</v>
      </c>
      <c r="Q267" s="29">
        <v>0</v>
      </c>
      <c r="R267" s="29">
        <v>0</v>
      </c>
      <c r="S267" s="23" t="s">
        <v>20</v>
      </c>
    </row>
    <row r="268" spans="1:19" s="46" customFormat="1" ht="16.5" x14ac:dyDescent="0.25">
      <c r="A268" s="23">
        <f>A267+1</f>
        <v>218</v>
      </c>
      <c r="B268" s="111" t="s">
        <v>23</v>
      </c>
      <c r="C268" s="112"/>
      <c r="D268" s="28">
        <f t="shared" ref="D268:D270" si="239">SUM(E268:R268)</f>
        <v>64700</v>
      </c>
      <c r="E268" s="29">
        <v>16600</v>
      </c>
      <c r="F268" s="29">
        <v>0</v>
      </c>
      <c r="G268" s="29">
        <v>7900</v>
      </c>
      <c r="H268" s="38">
        <v>13600</v>
      </c>
      <c r="I268" s="38">
        <v>26600</v>
      </c>
      <c r="J268" s="29">
        <v>0</v>
      </c>
      <c r="K268" s="29">
        <v>0</v>
      </c>
      <c r="L268" s="29">
        <v>0</v>
      </c>
      <c r="M268" s="30">
        <v>0</v>
      </c>
      <c r="N268" s="91">
        <v>0</v>
      </c>
      <c r="O268" s="29">
        <v>0</v>
      </c>
      <c r="P268" s="29">
        <v>0</v>
      </c>
      <c r="Q268" s="29">
        <v>0</v>
      </c>
      <c r="R268" s="29">
        <v>0</v>
      </c>
      <c r="S268" s="23" t="s">
        <v>20</v>
      </c>
    </row>
    <row r="269" spans="1:19" s="22" customFormat="1" ht="16.5" x14ac:dyDescent="0.25">
      <c r="A269" s="23">
        <f>A268+1</f>
        <v>219</v>
      </c>
      <c r="B269" s="111" t="s">
        <v>24</v>
      </c>
      <c r="C269" s="112"/>
      <c r="D269" s="28">
        <f t="shared" si="239"/>
        <v>77766</v>
      </c>
      <c r="E269" s="29">
        <v>16600</v>
      </c>
      <c r="F269" s="29">
        <v>0</v>
      </c>
      <c r="G269" s="29">
        <v>7900</v>
      </c>
      <c r="H269" s="38">
        <v>26612</v>
      </c>
      <c r="I269" s="38">
        <v>26654</v>
      </c>
      <c r="J269" s="29">
        <v>0</v>
      </c>
      <c r="K269" s="29">
        <v>0</v>
      </c>
      <c r="L269" s="29">
        <v>0</v>
      </c>
      <c r="M269" s="30">
        <v>0</v>
      </c>
      <c r="N269" s="91">
        <v>0</v>
      </c>
      <c r="O269" s="29">
        <v>0</v>
      </c>
      <c r="P269" s="29">
        <v>0</v>
      </c>
      <c r="Q269" s="29">
        <v>0</v>
      </c>
      <c r="R269" s="29">
        <v>0</v>
      </c>
      <c r="S269" s="23" t="s">
        <v>20</v>
      </c>
    </row>
    <row r="270" spans="1:19" s="22" customFormat="1" ht="16.5" x14ac:dyDescent="0.25">
      <c r="A270" s="23">
        <f>A269+1</f>
        <v>220</v>
      </c>
      <c r="B270" s="111" t="s">
        <v>25</v>
      </c>
      <c r="C270" s="112"/>
      <c r="D270" s="28">
        <f t="shared" si="239"/>
        <v>0</v>
      </c>
      <c r="E270" s="29">
        <v>0</v>
      </c>
      <c r="F270" s="29">
        <v>0</v>
      </c>
      <c r="G270" s="29">
        <v>0</v>
      </c>
      <c r="H270" s="38">
        <v>0</v>
      </c>
      <c r="I270" s="38">
        <v>0</v>
      </c>
      <c r="J270" s="29">
        <v>0</v>
      </c>
      <c r="K270" s="29">
        <v>0</v>
      </c>
      <c r="L270" s="29">
        <v>0</v>
      </c>
      <c r="M270" s="30">
        <v>0</v>
      </c>
      <c r="N270" s="91">
        <v>0</v>
      </c>
      <c r="O270" s="29">
        <v>0</v>
      </c>
      <c r="P270" s="29">
        <v>0</v>
      </c>
      <c r="Q270" s="29">
        <v>0</v>
      </c>
      <c r="R270" s="29">
        <v>0</v>
      </c>
      <c r="S270" s="23" t="s">
        <v>20</v>
      </c>
    </row>
    <row r="271" spans="1:19" s="98" customFormat="1" ht="16.5" x14ac:dyDescent="0.25">
      <c r="A271" s="150">
        <f>A270+1</f>
        <v>221</v>
      </c>
      <c r="B271" s="152" t="s">
        <v>36</v>
      </c>
      <c r="C271" s="153"/>
      <c r="D271" s="109">
        <f>SUM(E271:R272)</f>
        <v>122800</v>
      </c>
      <c r="E271" s="109">
        <f t="shared" ref="E271:M271" si="240">SUM(E273:E276)</f>
        <v>97800</v>
      </c>
      <c r="F271" s="109">
        <f t="shared" si="240"/>
        <v>0</v>
      </c>
      <c r="G271" s="109">
        <f t="shared" si="240"/>
        <v>0</v>
      </c>
      <c r="H271" s="109">
        <f t="shared" si="240"/>
        <v>0</v>
      </c>
      <c r="I271" s="109">
        <f t="shared" si="240"/>
        <v>0</v>
      </c>
      <c r="J271" s="109">
        <f t="shared" si="240"/>
        <v>25000</v>
      </c>
      <c r="K271" s="109">
        <f t="shared" si="240"/>
        <v>0</v>
      </c>
      <c r="L271" s="109">
        <f t="shared" si="240"/>
        <v>0</v>
      </c>
      <c r="M271" s="109">
        <f t="shared" si="240"/>
        <v>0</v>
      </c>
      <c r="N271" s="143">
        <v>0</v>
      </c>
      <c r="O271" s="143">
        <v>0</v>
      </c>
      <c r="P271" s="143">
        <v>0</v>
      </c>
      <c r="Q271" s="143">
        <v>0</v>
      </c>
      <c r="R271" s="143">
        <v>0</v>
      </c>
      <c r="S271" s="150" t="s">
        <v>112</v>
      </c>
    </row>
    <row r="272" spans="1:19" s="98" customFormat="1" ht="114" customHeight="1" x14ac:dyDescent="0.25">
      <c r="A272" s="151"/>
      <c r="B272" s="154" t="s">
        <v>82</v>
      </c>
      <c r="C272" s="155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44"/>
      <c r="O272" s="144"/>
      <c r="P272" s="144"/>
      <c r="Q272" s="144"/>
      <c r="R272" s="144"/>
      <c r="S272" s="151"/>
    </row>
    <row r="273" spans="1:19" s="22" customFormat="1" ht="16.5" x14ac:dyDescent="0.25">
      <c r="A273" s="23">
        <f>A271+1</f>
        <v>222</v>
      </c>
      <c r="B273" s="111" t="s">
        <v>22</v>
      </c>
      <c r="C273" s="112"/>
      <c r="D273" s="28">
        <f>SUM(E273:R273)</f>
        <v>0</v>
      </c>
      <c r="E273" s="29">
        <v>0</v>
      </c>
      <c r="F273" s="29">
        <v>0</v>
      </c>
      <c r="G273" s="29">
        <v>0</v>
      </c>
      <c r="H273" s="38">
        <v>0</v>
      </c>
      <c r="I273" s="38">
        <v>0</v>
      </c>
      <c r="J273" s="29">
        <v>0</v>
      </c>
      <c r="K273" s="29">
        <v>0</v>
      </c>
      <c r="L273" s="29">
        <v>0</v>
      </c>
      <c r="M273" s="30">
        <v>0</v>
      </c>
      <c r="N273" s="91">
        <v>0</v>
      </c>
      <c r="O273" s="29">
        <v>0</v>
      </c>
      <c r="P273" s="29">
        <v>0</v>
      </c>
      <c r="Q273" s="29">
        <v>0</v>
      </c>
      <c r="R273" s="29">
        <v>0</v>
      </c>
      <c r="S273" s="23" t="s">
        <v>20</v>
      </c>
    </row>
    <row r="274" spans="1:19" s="22" customFormat="1" ht="16.5" x14ac:dyDescent="0.25">
      <c r="A274" s="23">
        <f>A273+1</f>
        <v>223</v>
      </c>
      <c r="B274" s="111" t="s">
        <v>23</v>
      </c>
      <c r="C274" s="112"/>
      <c r="D274" s="28">
        <f t="shared" ref="D274:D276" si="241">SUM(E274:R274)</f>
        <v>48000</v>
      </c>
      <c r="E274" s="29">
        <v>48000</v>
      </c>
      <c r="F274" s="29">
        <v>0</v>
      </c>
      <c r="G274" s="29">
        <v>0</v>
      </c>
      <c r="H274" s="38">
        <v>0</v>
      </c>
      <c r="I274" s="38">
        <v>0</v>
      </c>
      <c r="J274" s="29">
        <v>0</v>
      </c>
      <c r="K274" s="29">
        <v>0</v>
      </c>
      <c r="L274" s="29">
        <v>0</v>
      </c>
      <c r="M274" s="30">
        <v>0</v>
      </c>
      <c r="N274" s="91">
        <v>0</v>
      </c>
      <c r="O274" s="29">
        <v>0</v>
      </c>
      <c r="P274" s="29">
        <v>0</v>
      </c>
      <c r="Q274" s="29">
        <v>0</v>
      </c>
      <c r="R274" s="29">
        <v>0</v>
      </c>
      <c r="S274" s="23" t="s">
        <v>20</v>
      </c>
    </row>
    <row r="275" spans="1:19" s="22" customFormat="1" ht="16.5" x14ac:dyDescent="0.25">
      <c r="A275" s="23">
        <f>A274+1</f>
        <v>224</v>
      </c>
      <c r="B275" s="111" t="s">
        <v>24</v>
      </c>
      <c r="C275" s="112"/>
      <c r="D275" s="28">
        <f>SUM(E275:R275)</f>
        <v>74800</v>
      </c>
      <c r="E275" s="29">
        <v>49800</v>
      </c>
      <c r="F275" s="29">
        <v>0</v>
      </c>
      <c r="G275" s="29">
        <v>0</v>
      </c>
      <c r="H275" s="38">
        <v>0</v>
      </c>
      <c r="I275" s="38">
        <v>0</v>
      </c>
      <c r="J275" s="29">
        <v>25000</v>
      </c>
      <c r="K275" s="29">
        <v>0</v>
      </c>
      <c r="L275" s="29">
        <v>0</v>
      </c>
      <c r="M275" s="30">
        <v>0</v>
      </c>
      <c r="N275" s="91">
        <v>0</v>
      </c>
      <c r="O275" s="29">
        <v>0</v>
      </c>
      <c r="P275" s="29">
        <v>0</v>
      </c>
      <c r="Q275" s="29">
        <v>0</v>
      </c>
      <c r="R275" s="29">
        <v>0</v>
      </c>
      <c r="S275" s="23" t="s">
        <v>20</v>
      </c>
    </row>
    <row r="276" spans="1:19" s="22" customFormat="1" ht="16.5" x14ac:dyDescent="0.25">
      <c r="A276" s="23">
        <f>A275+1</f>
        <v>225</v>
      </c>
      <c r="B276" s="111" t="s">
        <v>25</v>
      </c>
      <c r="C276" s="112"/>
      <c r="D276" s="28">
        <f t="shared" si="241"/>
        <v>0</v>
      </c>
      <c r="E276" s="29">
        <v>0</v>
      </c>
      <c r="F276" s="29">
        <v>0</v>
      </c>
      <c r="G276" s="29">
        <v>0</v>
      </c>
      <c r="H276" s="38">
        <v>0</v>
      </c>
      <c r="I276" s="38">
        <v>0</v>
      </c>
      <c r="J276" s="29">
        <v>0</v>
      </c>
      <c r="K276" s="29">
        <v>0</v>
      </c>
      <c r="L276" s="29">
        <v>0</v>
      </c>
      <c r="M276" s="30">
        <v>0</v>
      </c>
      <c r="N276" s="91">
        <v>0</v>
      </c>
      <c r="O276" s="29">
        <v>0</v>
      </c>
      <c r="P276" s="29">
        <v>0</v>
      </c>
      <c r="Q276" s="29">
        <v>0</v>
      </c>
      <c r="R276" s="29">
        <v>0</v>
      </c>
      <c r="S276" s="23" t="s">
        <v>20</v>
      </c>
    </row>
    <row r="277" spans="1:19" s="22" customFormat="1" ht="26.25" customHeight="1" x14ac:dyDescent="0.25">
      <c r="A277" s="102">
        <f>A276+1</f>
        <v>226</v>
      </c>
      <c r="B277" s="139" t="s">
        <v>76</v>
      </c>
      <c r="C277" s="140"/>
      <c r="D277" s="104">
        <f>SUM(E277:R278)</f>
        <v>916954</v>
      </c>
      <c r="E277" s="104">
        <f t="shared" ref="E277:G277" si="242">SUM(E279:E282)</f>
        <v>0</v>
      </c>
      <c r="F277" s="104">
        <f t="shared" si="242"/>
        <v>0</v>
      </c>
      <c r="G277" s="104">
        <f t="shared" si="242"/>
        <v>22800</v>
      </c>
      <c r="H277" s="107">
        <f t="shared" ref="H277:N277" si="243">SUM(H279:H282)</f>
        <v>0</v>
      </c>
      <c r="I277" s="107">
        <f t="shared" si="243"/>
        <v>0</v>
      </c>
      <c r="J277" s="107">
        <f t="shared" si="243"/>
        <v>0</v>
      </c>
      <c r="K277" s="107">
        <f t="shared" si="243"/>
        <v>0</v>
      </c>
      <c r="L277" s="107">
        <f t="shared" si="243"/>
        <v>0</v>
      </c>
      <c r="M277" s="107">
        <f t="shared" si="243"/>
        <v>0</v>
      </c>
      <c r="N277" s="156">
        <f t="shared" si="243"/>
        <v>15570</v>
      </c>
      <c r="O277" s="107">
        <f t="shared" ref="O277:R277" si="244">SUM(O279:O282)</f>
        <v>295000</v>
      </c>
      <c r="P277" s="107">
        <f t="shared" si="244"/>
        <v>299130</v>
      </c>
      <c r="Q277" s="107">
        <f t="shared" si="244"/>
        <v>284454</v>
      </c>
      <c r="R277" s="107">
        <f t="shared" si="244"/>
        <v>0</v>
      </c>
      <c r="S277" s="102" t="s">
        <v>112</v>
      </c>
    </row>
    <row r="278" spans="1:19" s="22" customFormat="1" ht="79.5" customHeight="1" x14ac:dyDescent="0.25">
      <c r="A278" s="103"/>
      <c r="B278" s="137" t="s">
        <v>83</v>
      </c>
      <c r="C278" s="138"/>
      <c r="D278" s="106"/>
      <c r="E278" s="106"/>
      <c r="F278" s="106"/>
      <c r="G278" s="106"/>
      <c r="H278" s="108"/>
      <c r="I278" s="108"/>
      <c r="J278" s="108"/>
      <c r="K278" s="108"/>
      <c r="L278" s="108"/>
      <c r="M278" s="108"/>
      <c r="N278" s="157"/>
      <c r="O278" s="108"/>
      <c r="P278" s="108"/>
      <c r="Q278" s="108"/>
      <c r="R278" s="108"/>
      <c r="S278" s="103"/>
    </row>
    <row r="279" spans="1:19" s="22" customFormat="1" ht="16.5" x14ac:dyDescent="0.25">
      <c r="A279" s="23">
        <f>A277+1</f>
        <v>227</v>
      </c>
      <c r="B279" s="111" t="s">
        <v>22</v>
      </c>
      <c r="C279" s="112"/>
      <c r="D279" s="28">
        <f>SUM(E279:R279)</f>
        <v>0</v>
      </c>
      <c r="E279" s="29">
        <v>0</v>
      </c>
      <c r="F279" s="29">
        <v>0</v>
      </c>
      <c r="G279" s="29">
        <v>0</v>
      </c>
      <c r="H279" s="38">
        <v>0</v>
      </c>
      <c r="I279" s="38">
        <v>0</v>
      </c>
      <c r="J279" s="29">
        <v>0</v>
      </c>
      <c r="K279" s="29">
        <v>0</v>
      </c>
      <c r="L279" s="29">
        <v>0</v>
      </c>
      <c r="M279" s="30">
        <v>0</v>
      </c>
      <c r="N279" s="91">
        <v>0</v>
      </c>
      <c r="O279" s="29">
        <v>0</v>
      </c>
      <c r="P279" s="29">
        <v>0</v>
      </c>
      <c r="Q279" s="29">
        <v>0</v>
      </c>
      <c r="R279" s="29">
        <v>0</v>
      </c>
      <c r="S279" s="23" t="s">
        <v>20</v>
      </c>
    </row>
    <row r="280" spans="1:19" s="22" customFormat="1" ht="16.5" x14ac:dyDescent="0.25">
      <c r="A280" s="23">
        <f t="shared" ref="A280:A284" si="245">A279+1</f>
        <v>228</v>
      </c>
      <c r="B280" s="111" t="s">
        <v>23</v>
      </c>
      <c r="C280" s="112"/>
      <c r="D280" s="28">
        <f t="shared" ref="D280:D282" si="246">SUM(E280:R280)</f>
        <v>0</v>
      </c>
      <c r="E280" s="29">
        <v>0</v>
      </c>
      <c r="F280" s="29">
        <v>0</v>
      </c>
      <c r="G280" s="29">
        <v>0</v>
      </c>
      <c r="H280" s="38">
        <v>0</v>
      </c>
      <c r="I280" s="38">
        <v>0</v>
      </c>
      <c r="J280" s="29">
        <v>0</v>
      </c>
      <c r="K280" s="29">
        <v>0</v>
      </c>
      <c r="L280" s="29">
        <v>0</v>
      </c>
      <c r="M280" s="30">
        <v>0</v>
      </c>
      <c r="N280" s="91">
        <v>0</v>
      </c>
      <c r="O280" s="29">
        <v>0</v>
      </c>
      <c r="P280" s="29">
        <v>0</v>
      </c>
      <c r="Q280" s="29">
        <v>0</v>
      </c>
      <c r="R280" s="29">
        <v>0</v>
      </c>
      <c r="S280" s="23" t="s">
        <v>20</v>
      </c>
    </row>
    <row r="281" spans="1:19" s="22" customFormat="1" ht="16.5" x14ac:dyDescent="0.25">
      <c r="A281" s="23">
        <f t="shared" si="245"/>
        <v>229</v>
      </c>
      <c r="B281" s="111" t="s">
        <v>24</v>
      </c>
      <c r="C281" s="112"/>
      <c r="D281" s="28">
        <f t="shared" si="246"/>
        <v>916954</v>
      </c>
      <c r="E281" s="29">
        <v>0</v>
      </c>
      <c r="F281" s="29">
        <v>0</v>
      </c>
      <c r="G281" s="29">
        <v>22800</v>
      </c>
      <c r="H281" s="38">
        <v>0</v>
      </c>
      <c r="I281" s="38">
        <v>0</v>
      </c>
      <c r="J281" s="29">
        <v>0</v>
      </c>
      <c r="K281" s="29">
        <v>0</v>
      </c>
      <c r="L281" s="29">
        <v>0</v>
      </c>
      <c r="M281" s="30">
        <v>0</v>
      </c>
      <c r="N281" s="91">
        <v>15570</v>
      </c>
      <c r="O281" s="29">
        <f>100000+27000+168000</f>
        <v>295000</v>
      </c>
      <c r="P281" s="29">
        <v>299130</v>
      </c>
      <c r="Q281" s="29">
        <v>284454</v>
      </c>
      <c r="R281" s="29">
        <v>0</v>
      </c>
      <c r="S281" s="23" t="s">
        <v>20</v>
      </c>
    </row>
    <row r="282" spans="1:19" s="22" customFormat="1" ht="16.5" x14ac:dyDescent="0.25">
      <c r="A282" s="23">
        <f t="shared" si="245"/>
        <v>230</v>
      </c>
      <c r="B282" s="111" t="s">
        <v>25</v>
      </c>
      <c r="C282" s="112"/>
      <c r="D282" s="28">
        <f t="shared" si="246"/>
        <v>0</v>
      </c>
      <c r="E282" s="29">
        <v>0</v>
      </c>
      <c r="F282" s="29">
        <v>0</v>
      </c>
      <c r="G282" s="29">
        <v>0</v>
      </c>
      <c r="H282" s="38">
        <v>0</v>
      </c>
      <c r="I282" s="38">
        <v>0</v>
      </c>
      <c r="J282" s="29">
        <v>0</v>
      </c>
      <c r="K282" s="29">
        <v>0</v>
      </c>
      <c r="L282" s="29">
        <v>0</v>
      </c>
      <c r="M282" s="30">
        <v>0</v>
      </c>
      <c r="N282" s="91">
        <v>0</v>
      </c>
      <c r="O282" s="29">
        <v>0</v>
      </c>
      <c r="P282" s="29">
        <v>0</v>
      </c>
      <c r="Q282" s="29">
        <v>0</v>
      </c>
      <c r="R282" s="29">
        <v>0</v>
      </c>
      <c r="S282" s="23" t="s">
        <v>20</v>
      </c>
    </row>
    <row r="283" spans="1:19" s="22" customFormat="1" ht="102.75" hidden="1" customHeight="1" x14ac:dyDescent="0.25">
      <c r="A283" s="23">
        <f t="shared" si="245"/>
        <v>231</v>
      </c>
      <c r="B283" s="71" t="s">
        <v>84</v>
      </c>
      <c r="C283" s="34"/>
      <c r="D283" s="34">
        <v>0</v>
      </c>
      <c r="E283" s="34">
        <v>0</v>
      </c>
      <c r="F283" s="34">
        <v>0</v>
      </c>
      <c r="G283" s="34">
        <v>0</v>
      </c>
      <c r="H283" s="54">
        <v>0</v>
      </c>
      <c r="I283" s="54">
        <v>0</v>
      </c>
      <c r="J283" s="72">
        <v>2647</v>
      </c>
      <c r="K283" s="23">
        <v>0</v>
      </c>
      <c r="L283" s="23"/>
      <c r="M283" s="25"/>
      <c r="N283" s="90"/>
      <c r="O283" s="23"/>
      <c r="P283" s="23"/>
      <c r="Q283" s="23"/>
      <c r="R283" s="23"/>
      <c r="S283" s="23" t="s">
        <v>27</v>
      </c>
    </row>
    <row r="284" spans="1:19" s="22" customFormat="1" ht="81.75" hidden="1" customHeight="1" x14ac:dyDescent="0.25">
      <c r="A284" s="23">
        <f t="shared" si="245"/>
        <v>232</v>
      </c>
      <c r="B284" s="73" t="s">
        <v>85</v>
      </c>
      <c r="C284" s="74"/>
      <c r="D284" s="74">
        <v>0</v>
      </c>
      <c r="E284" s="74">
        <v>0</v>
      </c>
      <c r="F284" s="74">
        <v>0</v>
      </c>
      <c r="G284" s="74">
        <v>0</v>
      </c>
      <c r="H284" s="75">
        <v>0</v>
      </c>
      <c r="I284" s="75">
        <v>0</v>
      </c>
      <c r="J284" s="76">
        <v>2647</v>
      </c>
      <c r="K284" s="74">
        <v>0</v>
      </c>
      <c r="L284" s="74"/>
      <c r="M284" s="77"/>
      <c r="N284" s="94"/>
      <c r="O284" s="74"/>
      <c r="P284" s="74"/>
      <c r="Q284" s="74"/>
      <c r="R284" s="74"/>
      <c r="S284" s="74" t="s">
        <v>27</v>
      </c>
    </row>
    <row r="285" spans="1:19" s="22" customFormat="1" ht="16.5" x14ac:dyDescent="0.25">
      <c r="A285" s="102">
        <f>A282+1</f>
        <v>231</v>
      </c>
      <c r="B285" s="139" t="s">
        <v>86</v>
      </c>
      <c r="C285" s="140"/>
      <c r="D285" s="117">
        <f>SUM(E285:R286)</f>
        <v>168104</v>
      </c>
      <c r="E285" s="117">
        <f t="shared" ref="E285:O285" si="247">SUM(E287:E290)</f>
        <v>0</v>
      </c>
      <c r="F285" s="117">
        <f t="shared" si="247"/>
        <v>0</v>
      </c>
      <c r="G285" s="117">
        <f t="shared" si="247"/>
        <v>0</v>
      </c>
      <c r="H285" s="117">
        <f t="shared" si="247"/>
        <v>0</v>
      </c>
      <c r="I285" s="117">
        <f t="shared" si="247"/>
        <v>0</v>
      </c>
      <c r="J285" s="104">
        <f t="shared" si="247"/>
        <v>9000</v>
      </c>
      <c r="K285" s="104">
        <f t="shared" si="247"/>
        <v>34000</v>
      </c>
      <c r="L285" s="104">
        <f t="shared" si="247"/>
        <v>31000</v>
      </c>
      <c r="M285" s="115">
        <f t="shared" si="247"/>
        <v>40000</v>
      </c>
      <c r="N285" s="109">
        <f t="shared" si="247"/>
        <v>9430</v>
      </c>
      <c r="O285" s="104">
        <f t="shared" si="247"/>
        <v>15000</v>
      </c>
      <c r="P285" s="104">
        <f t="shared" ref="P285:R285" si="248">SUM(P287:P290)</f>
        <v>15210</v>
      </c>
      <c r="Q285" s="104">
        <f t="shared" si="248"/>
        <v>14464</v>
      </c>
      <c r="R285" s="104">
        <f t="shared" si="248"/>
        <v>0</v>
      </c>
      <c r="S285" s="102" t="s">
        <v>112</v>
      </c>
    </row>
    <row r="286" spans="1:19" s="22" customFormat="1" ht="108.75" customHeight="1" x14ac:dyDescent="0.25">
      <c r="A286" s="103"/>
      <c r="B286" s="137" t="s">
        <v>102</v>
      </c>
      <c r="C286" s="138"/>
      <c r="D286" s="118"/>
      <c r="E286" s="118"/>
      <c r="F286" s="118"/>
      <c r="G286" s="118"/>
      <c r="H286" s="118"/>
      <c r="I286" s="118"/>
      <c r="J286" s="106"/>
      <c r="K286" s="106"/>
      <c r="L286" s="106"/>
      <c r="M286" s="116"/>
      <c r="N286" s="110"/>
      <c r="O286" s="106"/>
      <c r="P286" s="106"/>
      <c r="Q286" s="106"/>
      <c r="R286" s="106"/>
      <c r="S286" s="103"/>
    </row>
    <row r="287" spans="1:19" s="22" customFormat="1" ht="16.5" x14ac:dyDescent="0.25">
      <c r="A287" s="23">
        <f>A285+1</f>
        <v>232</v>
      </c>
      <c r="B287" s="111" t="s">
        <v>22</v>
      </c>
      <c r="C287" s="112"/>
      <c r="D287" s="37">
        <f>SUM(E287:R287)</f>
        <v>0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29">
        <v>0</v>
      </c>
      <c r="K287" s="29">
        <v>0</v>
      </c>
      <c r="L287" s="29">
        <v>0</v>
      </c>
      <c r="M287" s="30">
        <v>0</v>
      </c>
      <c r="N287" s="91">
        <v>0</v>
      </c>
      <c r="O287" s="29">
        <v>0</v>
      </c>
      <c r="P287" s="29">
        <v>0</v>
      </c>
      <c r="Q287" s="29">
        <v>0</v>
      </c>
      <c r="R287" s="29">
        <v>0</v>
      </c>
      <c r="S287" s="23" t="s">
        <v>20</v>
      </c>
    </row>
    <row r="288" spans="1:19" s="22" customFormat="1" ht="16.5" x14ac:dyDescent="0.25">
      <c r="A288" s="23">
        <f>A287+1</f>
        <v>233</v>
      </c>
      <c r="B288" s="111" t="s">
        <v>23</v>
      </c>
      <c r="C288" s="112"/>
      <c r="D288" s="37">
        <f t="shared" ref="D288:D290" si="249">SUM(E288:R288)</f>
        <v>4000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v>4000</v>
      </c>
      <c r="K288" s="29">
        <v>0</v>
      </c>
      <c r="L288" s="29">
        <v>0</v>
      </c>
      <c r="M288" s="30">
        <v>0</v>
      </c>
      <c r="N288" s="91">
        <v>0</v>
      </c>
      <c r="O288" s="29">
        <v>0</v>
      </c>
      <c r="P288" s="29">
        <v>0</v>
      </c>
      <c r="Q288" s="29">
        <v>0</v>
      </c>
      <c r="R288" s="29">
        <v>0</v>
      </c>
      <c r="S288" s="23" t="s">
        <v>20</v>
      </c>
    </row>
    <row r="289" spans="1:19" s="22" customFormat="1" ht="16.5" x14ac:dyDescent="0.25">
      <c r="A289" s="23">
        <f>A288+1</f>
        <v>234</v>
      </c>
      <c r="B289" s="111" t="s">
        <v>24</v>
      </c>
      <c r="C289" s="112"/>
      <c r="D289" s="37">
        <f t="shared" si="249"/>
        <v>164104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29">
        <v>5000</v>
      </c>
      <c r="K289" s="29">
        <v>34000</v>
      </c>
      <c r="L289" s="29">
        <v>31000</v>
      </c>
      <c r="M289" s="30">
        <v>40000</v>
      </c>
      <c r="N289" s="91">
        <v>9430</v>
      </c>
      <c r="O289" s="29">
        <v>15000</v>
      </c>
      <c r="P289" s="29">
        <v>15210</v>
      </c>
      <c r="Q289" s="29">
        <v>14464</v>
      </c>
      <c r="R289" s="29">
        <v>0</v>
      </c>
      <c r="S289" s="23" t="s">
        <v>20</v>
      </c>
    </row>
    <row r="290" spans="1:19" s="22" customFormat="1" ht="16.5" x14ac:dyDescent="0.25">
      <c r="A290" s="23">
        <f>A289+1</f>
        <v>235</v>
      </c>
      <c r="B290" s="111" t="s">
        <v>25</v>
      </c>
      <c r="C290" s="112"/>
      <c r="D290" s="37">
        <f t="shared" si="249"/>
        <v>0</v>
      </c>
      <c r="E290" s="29">
        <v>0</v>
      </c>
      <c r="F290" s="29">
        <v>0</v>
      </c>
      <c r="G290" s="29">
        <v>0</v>
      </c>
      <c r="H290" s="38">
        <v>0</v>
      </c>
      <c r="I290" s="38">
        <v>0</v>
      </c>
      <c r="J290" s="29">
        <v>0</v>
      </c>
      <c r="K290" s="29">
        <v>0</v>
      </c>
      <c r="L290" s="29">
        <v>0</v>
      </c>
      <c r="M290" s="30">
        <v>0</v>
      </c>
      <c r="N290" s="91">
        <v>0</v>
      </c>
      <c r="O290" s="29">
        <v>0</v>
      </c>
      <c r="P290" s="29">
        <v>0</v>
      </c>
      <c r="Q290" s="29">
        <v>0</v>
      </c>
      <c r="R290" s="29">
        <v>0</v>
      </c>
      <c r="S290" s="23" t="s">
        <v>20</v>
      </c>
    </row>
    <row r="291" spans="1:19" s="22" customFormat="1" ht="23.25" customHeight="1" x14ac:dyDescent="0.25">
      <c r="A291" s="147" t="s">
        <v>87</v>
      </c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9"/>
    </row>
    <row r="292" spans="1:19" s="22" customFormat="1" ht="67.5" customHeight="1" x14ac:dyDescent="0.25">
      <c r="A292" s="23">
        <f>A290+1</f>
        <v>236</v>
      </c>
      <c r="B292" s="119" t="s">
        <v>88</v>
      </c>
      <c r="C292" s="121"/>
      <c r="D292" s="28">
        <f>SUM(E292:R292)</f>
        <v>268695</v>
      </c>
      <c r="E292" s="28">
        <f t="shared" ref="E292:O292" si="250">SUM(E293:E296)</f>
        <v>0</v>
      </c>
      <c r="F292" s="28">
        <f t="shared" si="250"/>
        <v>0</v>
      </c>
      <c r="G292" s="28">
        <f t="shared" si="250"/>
        <v>0</v>
      </c>
      <c r="H292" s="37">
        <f t="shared" si="250"/>
        <v>0</v>
      </c>
      <c r="I292" s="37">
        <f t="shared" si="250"/>
        <v>0</v>
      </c>
      <c r="J292" s="28">
        <f t="shared" si="250"/>
        <v>0</v>
      </c>
      <c r="K292" s="28">
        <f t="shared" si="250"/>
        <v>0</v>
      </c>
      <c r="L292" s="28">
        <f t="shared" si="250"/>
        <v>0</v>
      </c>
      <c r="M292" s="35">
        <f t="shared" si="250"/>
        <v>45000</v>
      </c>
      <c r="N292" s="92">
        <f t="shared" si="250"/>
        <v>45000</v>
      </c>
      <c r="O292" s="28">
        <f t="shared" si="250"/>
        <v>60000</v>
      </c>
      <c r="P292" s="28">
        <f t="shared" ref="P292:R292" si="251">SUM(P293:P296)</f>
        <v>60840</v>
      </c>
      <c r="Q292" s="28">
        <f t="shared" si="251"/>
        <v>57855</v>
      </c>
      <c r="R292" s="28">
        <f t="shared" si="251"/>
        <v>0</v>
      </c>
      <c r="S292" s="23" t="s">
        <v>27</v>
      </c>
    </row>
    <row r="293" spans="1:19" s="22" customFormat="1" ht="16.5" x14ac:dyDescent="0.25">
      <c r="A293" s="23">
        <f>A292+1</f>
        <v>237</v>
      </c>
      <c r="B293" s="111" t="s">
        <v>22</v>
      </c>
      <c r="C293" s="112"/>
      <c r="D293" s="28">
        <f t="shared" ref="D293:D296" si="252">SUM(E293:R293)</f>
        <v>0</v>
      </c>
      <c r="E293" s="29">
        <f t="shared" ref="E293:K296" si="253">E299</f>
        <v>0</v>
      </c>
      <c r="F293" s="29">
        <f t="shared" si="253"/>
        <v>0</v>
      </c>
      <c r="G293" s="29">
        <f t="shared" si="253"/>
        <v>0</v>
      </c>
      <c r="H293" s="38">
        <f t="shared" si="253"/>
        <v>0</v>
      </c>
      <c r="I293" s="38">
        <f t="shared" si="253"/>
        <v>0</v>
      </c>
      <c r="J293" s="29">
        <f t="shared" si="253"/>
        <v>0</v>
      </c>
      <c r="K293" s="29">
        <f t="shared" si="253"/>
        <v>0</v>
      </c>
      <c r="L293" s="29">
        <v>0</v>
      </c>
      <c r="M293" s="30">
        <v>0</v>
      </c>
      <c r="N293" s="91">
        <v>0</v>
      </c>
      <c r="O293" s="29">
        <v>0</v>
      </c>
      <c r="P293" s="29">
        <v>0</v>
      </c>
      <c r="Q293" s="29">
        <v>0</v>
      </c>
      <c r="R293" s="29">
        <v>0</v>
      </c>
      <c r="S293" s="23" t="s">
        <v>27</v>
      </c>
    </row>
    <row r="294" spans="1:19" s="22" customFormat="1" ht="16.5" x14ac:dyDescent="0.25">
      <c r="A294" s="23">
        <f>A293+1</f>
        <v>238</v>
      </c>
      <c r="B294" s="111" t="s">
        <v>23</v>
      </c>
      <c r="C294" s="112"/>
      <c r="D294" s="28">
        <f t="shared" si="252"/>
        <v>0</v>
      </c>
      <c r="E294" s="29">
        <f t="shared" si="253"/>
        <v>0</v>
      </c>
      <c r="F294" s="29">
        <f t="shared" si="253"/>
        <v>0</v>
      </c>
      <c r="G294" s="29">
        <f t="shared" si="253"/>
        <v>0</v>
      </c>
      <c r="H294" s="38">
        <f t="shared" si="253"/>
        <v>0</v>
      </c>
      <c r="I294" s="38">
        <f t="shared" si="253"/>
        <v>0</v>
      </c>
      <c r="J294" s="29">
        <f t="shared" si="253"/>
        <v>0</v>
      </c>
      <c r="K294" s="29">
        <f t="shared" si="253"/>
        <v>0</v>
      </c>
      <c r="L294" s="29">
        <v>0</v>
      </c>
      <c r="M294" s="30">
        <v>0</v>
      </c>
      <c r="N294" s="91">
        <v>0</v>
      </c>
      <c r="O294" s="29">
        <v>0</v>
      </c>
      <c r="P294" s="29">
        <v>0</v>
      </c>
      <c r="Q294" s="29">
        <v>0</v>
      </c>
      <c r="R294" s="29">
        <v>0</v>
      </c>
      <c r="S294" s="23" t="s">
        <v>27</v>
      </c>
    </row>
    <row r="295" spans="1:19" s="22" customFormat="1" ht="16.5" x14ac:dyDescent="0.25">
      <c r="A295" s="23">
        <f>A294+1</f>
        <v>239</v>
      </c>
      <c r="B295" s="111" t="s">
        <v>24</v>
      </c>
      <c r="C295" s="112"/>
      <c r="D295" s="28">
        <f t="shared" si="252"/>
        <v>268695</v>
      </c>
      <c r="E295" s="29">
        <f t="shared" si="253"/>
        <v>0</v>
      </c>
      <c r="F295" s="29">
        <f t="shared" si="253"/>
        <v>0</v>
      </c>
      <c r="G295" s="29">
        <f t="shared" si="253"/>
        <v>0</v>
      </c>
      <c r="H295" s="38">
        <f t="shared" si="253"/>
        <v>0</v>
      </c>
      <c r="I295" s="38">
        <f t="shared" si="253"/>
        <v>0</v>
      </c>
      <c r="J295" s="29">
        <f t="shared" si="253"/>
        <v>0</v>
      </c>
      <c r="K295" s="29">
        <f t="shared" si="253"/>
        <v>0</v>
      </c>
      <c r="L295" s="29">
        <f>L301</f>
        <v>0</v>
      </c>
      <c r="M295" s="30">
        <f>M301</f>
        <v>45000</v>
      </c>
      <c r="N295" s="91">
        <f>N301</f>
        <v>45000</v>
      </c>
      <c r="O295" s="29">
        <f>O301</f>
        <v>60000</v>
      </c>
      <c r="P295" s="29">
        <f t="shared" ref="P295:R295" si="254">P301</f>
        <v>60840</v>
      </c>
      <c r="Q295" s="29">
        <f t="shared" si="254"/>
        <v>57855</v>
      </c>
      <c r="R295" s="29">
        <f t="shared" si="254"/>
        <v>0</v>
      </c>
      <c r="S295" s="23" t="s">
        <v>27</v>
      </c>
    </row>
    <row r="296" spans="1:19" s="22" customFormat="1" ht="16.5" x14ac:dyDescent="0.25">
      <c r="A296" s="23">
        <f>A295+1</f>
        <v>240</v>
      </c>
      <c r="B296" s="111" t="s">
        <v>25</v>
      </c>
      <c r="C296" s="112"/>
      <c r="D296" s="28">
        <f t="shared" si="252"/>
        <v>0</v>
      </c>
      <c r="E296" s="29">
        <f t="shared" si="253"/>
        <v>0</v>
      </c>
      <c r="F296" s="29">
        <f t="shared" si="253"/>
        <v>0</v>
      </c>
      <c r="G296" s="29">
        <f t="shared" si="253"/>
        <v>0</v>
      </c>
      <c r="H296" s="38">
        <f t="shared" si="253"/>
        <v>0</v>
      </c>
      <c r="I296" s="38">
        <f t="shared" si="253"/>
        <v>0</v>
      </c>
      <c r="J296" s="29">
        <f t="shared" si="253"/>
        <v>0</v>
      </c>
      <c r="K296" s="29">
        <f t="shared" si="253"/>
        <v>0</v>
      </c>
      <c r="L296" s="29">
        <v>0</v>
      </c>
      <c r="M296" s="30">
        <v>0</v>
      </c>
      <c r="N296" s="91">
        <v>0</v>
      </c>
      <c r="O296" s="29">
        <v>0</v>
      </c>
      <c r="P296" s="29">
        <v>0</v>
      </c>
      <c r="Q296" s="29">
        <v>0</v>
      </c>
      <c r="R296" s="29">
        <v>0</v>
      </c>
      <c r="S296" s="23" t="s">
        <v>27</v>
      </c>
    </row>
    <row r="297" spans="1:19" s="22" customFormat="1" ht="24.75" customHeight="1" x14ac:dyDescent="0.25">
      <c r="A297" s="119" t="s">
        <v>26</v>
      </c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1"/>
    </row>
    <row r="298" spans="1:19" s="22" customFormat="1" ht="16.5" x14ac:dyDescent="0.25">
      <c r="A298" s="23">
        <f>A296+1</f>
        <v>241</v>
      </c>
      <c r="B298" s="119" t="s">
        <v>26</v>
      </c>
      <c r="C298" s="121"/>
      <c r="D298" s="28">
        <f>SUM(E298:R298)</f>
        <v>268699</v>
      </c>
      <c r="E298" s="28">
        <f t="shared" ref="E298:N298" si="255">SUM(E299:E302)</f>
        <v>0</v>
      </c>
      <c r="F298" s="28">
        <f t="shared" si="255"/>
        <v>0</v>
      </c>
      <c r="G298" s="28">
        <f t="shared" si="255"/>
        <v>0</v>
      </c>
      <c r="H298" s="37">
        <f t="shared" si="255"/>
        <v>0</v>
      </c>
      <c r="I298" s="37">
        <f t="shared" si="255"/>
        <v>0</v>
      </c>
      <c r="J298" s="28">
        <f t="shared" si="255"/>
        <v>0</v>
      </c>
      <c r="K298" s="28">
        <f t="shared" si="255"/>
        <v>0</v>
      </c>
      <c r="L298" s="28">
        <f t="shared" si="255"/>
        <v>0</v>
      </c>
      <c r="M298" s="35">
        <f t="shared" si="255"/>
        <v>45000</v>
      </c>
      <c r="N298" s="92">
        <f t="shared" si="255"/>
        <v>45000</v>
      </c>
      <c r="O298" s="28">
        <f t="shared" ref="O298:R298" si="256">SUM(O299:O302)</f>
        <v>60000</v>
      </c>
      <c r="P298" s="28">
        <f t="shared" si="256"/>
        <v>60840</v>
      </c>
      <c r="Q298" s="28">
        <f t="shared" si="256"/>
        <v>57855</v>
      </c>
      <c r="R298" s="28">
        <f t="shared" si="256"/>
        <v>4</v>
      </c>
      <c r="S298" s="23" t="s">
        <v>27</v>
      </c>
    </row>
    <row r="299" spans="1:19" s="22" customFormat="1" ht="16.5" x14ac:dyDescent="0.25">
      <c r="A299" s="23">
        <f>A298+1</f>
        <v>242</v>
      </c>
      <c r="B299" s="111" t="s">
        <v>22</v>
      </c>
      <c r="C299" s="112"/>
      <c r="D299" s="28">
        <f t="shared" ref="D299:D302" si="257">SUM(E299:R299)</f>
        <v>0</v>
      </c>
      <c r="E299" s="29">
        <f t="shared" ref="E299:K302" si="258">E305</f>
        <v>0</v>
      </c>
      <c r="F299" s="29">
        <f t="shared" si="258"/>
        <v>0</v>
      </c>
      <c r="G299" s="29">
        <f t="shared" si="258"/>
        <v>0</v>
      </c>
      <c r="H299" s="38">
        <f t="shared" si="258"/>
        <v>0</v>
      </c>
      <c r="I299" s="38">
        <f t="shared" si="258"/>
        <v>0</v>
      </c>
      <c r="J299" s="29">
        <f t="shared" si="258"/>
        <v>0</v>
      </c>
      <c r="K299" s="29">
        <f t="shared" si="258"/>
        <v>0</v>
      </c>
      <c r="L299" s="29">
        <v>0</v>
      </c>
      <c r="M299" s="30">
        <v>0</v>
      </c>
      <c r="N299" s="91">
        <v>0</v>
      </c>
      <c r="O299" s="29">
        <v>0</v>
      </c>
      <c r="P299" s="29">
        <v>0</v>
      </c>
      <c r="Q299" s="29">
        <v>0</v>
      </c>
      <c r="R299" s="29">
        <v>0</v>
      </c>
      <c r="S299" s="23" t="s">
        <v>27</v>
      </c>
    </row>
    <row r="300" spans="1:19" s="22" customFormat="1" ht="16.5" x14ac:dyDescent="0.25">
      <c r="A300" s="23">
        <f>A299+1</f>
        <v>243</v>
      </c>
      <c r="B300" s="111" t="s">
        <v>23</v>
      </c>
      <c r="C300" s="112"/>
      <c r="D300" s="28">
        <f t="shared" si="257"/>
        <v>0</v>
      </c>
      <c r="E300" s="29">
        <f t="shared" si="258"/>
        <v>0</v>
      </c>
      <c r="F300" s="29">
        <f t="shared" si="258"/>
        <v>0</v>
      </c>
      <c r="G300" s="29">
        <f t="shared" si="258"/>
        <v>0</v>
      </c>
      <c r="H300" s="38">
        <f t="shared" si="258"/>
        <v>0</v>
      </c>
      <c r="I300" s="38">
        <f t="shared" si="258"/>
        <v>0</v>
      </c>
      <c r="J300" s="29">
        <f t="shared" si="258"/>
        <v>0</v>
      </c>
      <c r="K300" s="29">
        <f t="shared" si="258"/>
        <v>0</v>
      </c>
      <c r="L300" s="29">
        <v>0</v>
      </c>
      <c r="M300" s="30">
        <v>0</v>
      </c>
      <c r="N300" s="91">
        <v>0</v>
      </c>
      <c r="O300" s="29">
        <v>0</v>
      </c>
      <c r="P300" s="29">
        <v>0</v>
      </c>
      <c r="Q300" s="29">
        <v>0</v>
      </c>
      <c r="R300" s="29">
        <v>0</v>
      </c>
      <c r="S300" s="23" t="s">
        <v>27</v>
      </c>
    </row>
    <row r="301" spans="1:19" s="22" customFormat="1" ht="16.5" x14ac:dyDescent="0.25">
      <c r="A301" s="23">
        <f>A300+1</f>
        <v>244</v>
      </c>
      <c r="B301" s="111" t="s">
        <v>24</v>
      </c>
      <c r="C301" s="112"/>
      <c r="D301" s="28">
        <f t="shared" si="257"/>
        <v>268695</v>
      </c>
      <c r="E301" s="29">
        <f t="shared" si="258"/>
        <v>0</v>
      </c>
      <c r="F301" s="29">
        <f t="shared" si="258"/>
        <v>0</v>
      </c>
      <c r="G301" s="29">
        <f t="shared" si="258"/>
        <v>0</v>
      </c>
      <c r="H301" s="38">
        <f t="shared" si="258"/>
        <v>0</v>
      </c>
      <c r="I301" s="38">
        <f t="shared" si="258"/>
        <v>0</v>
      </c>
      <c r="J301" s="29">
        <f t="shared" si="258"/>
        <v>0</v>
      </c>
      <c r="K301" s="29">
        <f t="shared" si="258"/>
        <v>0</v>
      </c>
      <c r="L301" s="29">
        <f t="shared" ref="L301:N301" si="259">L307</f>
        <v>0</v>
      </c>
      <c r="M301" s="30">
        <f t="shared" si="259"/>
        <v>45000</v>
      </c>
      <c r="N301" s="91">
        <f t="shared" si="259"/>
        <v>45000</v>
      </c>
      <c r="O301" s="29">
        <f t="shared" ref="O301:R301" si="260">O307</f>
        <v>60000</v>
      </c>
      <c r="P301" s="29">
        <f t="shared" si="260"/>
        <v>60840</v>
      </c>
      <c r="Q301" s="29">
        <f t="shared" si="260"/>
        <v>57855</v>
      </c>
      <c r="R301" s="29">
        <f t="shared" si="260"/>
        <v>0</v>
      </c>
      <c r="S301" s="23" t="s">
        <v>27</v>
      </c>
    </row>
    <row r="302" spans="1:19" s="22" customFormat="1" ht="16.5" x14ac:dyDescent="0.25">
      <c r="A302" s="23">
        <f>A301+1</f>
        <v>245</v>
      </c>
      <c r="B302" s="132" t="s">
        <v>25</v>
      </c>
      <c r="C302" s="133"/>
      <c r="D302" s="28">
        <f t="shared" si="257"/>
        <v>4</v>
      </c>
      <c r="E302" s="29">
        <f t="shared" si="258"/>
        <v>0</v>
      </c>
      <c r="F302" s="29">
        <f t="shared" si="258"/>
        <v>0</v>
      </c>
      <c r="G302" s="29">
        <f t="shared" si="258"/>
        <v>0</v>
      </c>
      <c r="H302" s="38">
        <f t="shared" si="258"/>
        <v>0</v>
      </c>
      <c r="I302" s="38">
        <f t="shared" si="258"/>
        <v>0</v>
      </c>
      <c r="J302" s="29">
        <f t="shared" si="258"/>
        <v>0</v>
      </c>
      <c r="K302" s="29">
        <f t="shared" si="258"/>
        <v>0</v>
      </c>
      <c r="L302" s="29">
        <v>0</v>
      </c>
      <c r="M302" s="30">
        <v>0</v>
      </c>
      <c r="N302" s="91">
        <v>0</v>
      </c>
      <c r="O302" s="29">
        <v>0</v>
      </c>
      <c r="P302" s="29">
        <v>0</v>
      </c>
      <c r="Q302" s="29">
        <v>0</v>
      </c>
      <c r="R302" s="29">
        <v>4</v>
      </c>
      <c r="S302" s="23" t="s">
        <v>27</v>
      </c>
    </row>
    <row r="303" spans="1:19" s="22" customFormat="1" ht="16.5" x14ac:dyDescent="0.25">
      <c r="A303" s="102">
        <f>A302+1</f>
        <v>246</v>
      </c>
      <c r="B303" s="139" t="s">
        <v>46</v>
      </c>
      <c r="C303" s="140"/>
      <c r="D303" s="104">
        <f>SUM(E303:R304)</f>
        <v>268695</v>
      </c>
      <c r="E303" s="104">
        <f t="shared" ref="E303:N303" si="261">SUM(E305:E308)</f>
        <v>0</v>
      </c>
      <c r="F303" s="104">
        <f t="shared" si="261"/>
        <v>0</v>
      </c>
      <c r="G303" s="104">
        <f t="shared" si="261"/>
        <v>0</v>
      </c>
      <c r="H303" s="117">
        <f t="shared" si="261"/>
        <v>0</v>
      </c>
      <c r="I303" s="117">
        <f t="shared" si="261"/>
        <v>0</v>
      </c>
      <c r="J303" s="104">
        <f t="shared" si="261"/>
        <v>0</v>
      </c>
      <c r="K303" s="104">
        <f t="shared" si="261"/>
        <v>0</v>
      </c>
      <c r="L303" s="104">
        <f t="shared" si="261"/>
        <v>0</v>
      </c>
      <c r="M303" s="115">
        <f t="shared" si="261"/>
        <v>45000</v>
      </c>
      <c r="N303" s="109">
        <f t="shared" si="261"/>
        <v>45000</v>
      </c>
      <c r="O303" s="104">
        <f t="shared" ref="O303:R303" si="262">SUM(O305:O308)</f>
        <v>60000</v>
      </c>
      <c r="P303" s="104">
        <f t="shared" si="262"/>
        <v>60840</v>
      </c>
      <c r="Q303" s="104">
        <f t="shared" si="262"/>
        <v>57855</v>
      </c>
      <c r="R303" s="104">
        <f t="shared" si="262"/>
        <v>0</v>
      </c>
      <c r="S303" s="102">
        <v>67</v>
      </c>
    </row>
    <row r="304" spans="1:19" s="22" customFormat="1" ht="128.25" customHeight="1" x14ac:dyDescent="0.25">
      <c r="A304" s="103"/>
      <c r="B304" s="137" t="s">
        <v>89</v>
      </c>
      <c r="C304" s="138"/>
      <c r="D304" s="106"/>
      <c r="E304" s="106"/>
      <c r="F304" s="106"/>
      <c r="G304" s="106"/>
      <c r="H304" s="118"/>
      <c r="I304" s="118"/>
      <c r="J304" s="106"/>
      <c r="K304" s="106"/>
      <c r="L304" s="106"/>
      <c r="M304" s="116"/>
      <c r="N304" s="110"/>
      <c r="O304" s="106"/>
      <c r="P304" s="106"/>
      <c r="Q304" s="106"/>
      <c r="R304" s="106"/>
      <c r="S304" s="103"/>
    </row>
    <row r="305" spans="1:19" s="22" customFormat="1" ht="16.5" x14ac:dyDescent="0.25">
      <c r="A305" s="23">
        <f>A303+1</f>
        <v>247</v>
      </c>
      <c r="B305" s="113" t="s">
        <v>22</v>
      </c>
      <c r="C305" s="114"/>
      <c r="D305" s="28">
        <f>SUM(E305:R305)</f>
        <v>0</v>
      </c>
      <c r="E305" s="29">
        <v>0</v>
      </c>
      <c r="F305" s="29">
        <v>0</v>
      </c>
      <c r="G305" s="29">
        <v>0</v>
      </c>
      <c r="H305" s="38">
        <v>0</v>
      </c>
      <c r="I305" s="38">
        <v>0</v>
      </c>
      <c r="J305" s="29">
        <v>0</v>
      </c>
      <c r="K305" s="29">
        <v>0</v>
      </c>
      <c r="L305" s="29">
        <v>0</v>
      </c>
      <c r="M305" s="30">
        <v>0</v>
      </c>
      <c r="N305" s="91">
        <v>0</v>
      </c>
      <c r="O305" s="29">
        <v>0</v>
      </c>
      <c r="P305" s="29">
        <v>0</v>
      </c>
      <c r="Q305" s="29">
        <v>0</v>
      </c>
      <c r="R305" s="29">
        <v>0</v>
      </c>
      <c r="S305" s="23" t="s">
        <v>27</v>
      </c>
    </row>
    <row r="306" spans="1:19" s="46" customFormat="1" ht="16.5" x14ac:dyDescent="0.25">
      <c r="A306" s="23">
        <f>A305+1</f>
        <v>248</v>
      </c>
      <c r="B306" s="111" t="s">
        <v>23</v>
      </c>
      <c r="C306" s="112"/>
      <c r="D306" s="28">
        <f t="shared" ref="D306:D308" si="263">SUM(E306:R306)</f>
        <v>0</v>
      </c>
      <c r="E306" s="29">
        <v>0</v>
      </c>
      <c r="F306" s="29">
        <v>0</v>
      </c>
      <c r="G306" s="29">
        <v>0</v>
      </c>
      <c r="H306" s="38">
        <v>0</v>
      </c>
      <c r="I306" s="38">
        <v>0</v>
      </c>
      <c r="J306" s="29">
        <v>0</v>
      </c>
      <c r="K306" s="29">
        <v>0</v>
      </c>
      <c r="L306" s="29">
        <v>0</v>
      </c>
      <c r="M306" s="30">
        <v>0</v>
      </c>
      <c r="N306" s="91">
        <v>0</v>
      </c>
      <c r="O306" s="29">
        <v>0</v>
      </c>
      <c r="P306" s="29">
        <v>0</v>
      </c>
      <c r="Q306" s="29">
        <v>0</v>
      </c>
      <c r="R306" s="29">
        <v>0</v>
      </c>
      <c r="S306" s="23" t="s">
        <v>27</v>
      </c>
    </row>
    <row r="307" spans="1:19" s="22" customFormat="1" ht="16.5" x14ac:dyDescent="0.25">
      <c r="A307" s="23">
        <f>A306+1</f>
        <v>249</v>
      </c>
      <c r="B307" s="111" t="s">
        <v>24</v>
      </c>
      <c r="C307" s="112"/>
      <c r="D307" s="28">
        <f t="shared" si="263"/>
        <v>268695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30">
        <v>45000</v>
      </c>
      <c r="N307" s="91">
        <v>45000</v>
      </c>
      <c r="O307" s="29">
        <v>60000</v>
      </c>
      <c r="P307" s="29">
        <v>60840</v>
      </c>
      <c r="Q307" s="29">
        <v>57855</v>
      </c>
      <c r="R307" s="29">
        <v>0</v>
      </c>
      <c r="S307" s="23" t="s">
        <v>27</v>
      </c>
    </row>
    <row r="308" spans="1:19" s="22" customFormat="1" ht="16.5" x14ac:dyDescent="0.25">
      <c r="A308" s="23">
        <f>A307+1</f>
        <v>250</v>
      </c>
      <c r="B308" s="111" t="s">
        <v>25</v>
      </c>
      <c r="C308" s="112"/>
      <c r="D308" s="28">
        <f t="shared" si="263"/>
        <v>0</v>
      </c>
      <c r="E308" s="29">
        <v>0</v>
      </c>
      <c r="F308" s="29">
        <v>0</v>
      </c>
      <c r="G308" s="29">
        <v>0</v>
      </c>
      <c r="H308" s="38">
        <v>0</v>
      </c>
      <c r="I308" s="38">
        <v>0</v>
      </c>
      <c r="J308" s="29">
        <v>0</v>
      </c>
      <c r="K308" s="29">
        <v>0</v>
      </c>
      <c r="L308" s="29">
        <v>0</v>
      </c>
      <c r="M308" s="30">
        <v>0</v>
      </c>
      <c r="N308" s="91">
        <v>0</v>
      </c>
      <c r="O308" s="29">
        <v>0</v>
      </c>
      <c r="P308" s="29">
        <v>0</v>
      </c>
      <c r="Q308" s="29">
        <v>0</v>
      </c>
      <c r="R308" s="29">
        <v>0</v>
      </c>
      <c r="S308" s="23" t="s">
        <v>27</v>
      </c>
    </row>
    <row r="309" spans="1:19" s="22" customFormat="1" ht="23.25" customHeight="1" x14ac:dyDescent="0.25">
      <c r="A309" s="147" t="s">
        <v>90</v>
      </c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9"/>
    </row>
    <row r="310" spans="1:19" s="22" customFormat="1" ht="67.5" customHeight="1" x14ac:dyDescent="0.25">
      <c r="A310" s="23">
        <f>A308+1</f>
        <v>251</v>
      </c>
      <c r="B310" s="119" t="s">
        <v>91</v>
      </c>
      <c r="C310" s="121"/>
      <c r="D310" s="28">
        <f>SUM(E310:R310)</f>
        <v>0</v>
      </c>
      <c r="E310" s="28">
        <f t="shared" ref="E310:O310" si="264">SUM(E311:E314)</f>
        <v>0</v>
      </c>
      <c r="F310" s="28">
        <f t="shared" si="264"/>
        <v>0</v>
      </c>
      <c r="G310" s="28">
        <f t="shared" si="264"/>
        <v>0</v>
      </c>
      <c r="H310" s="37">
        <f t="shared" si="264"/>
        <v>0</v>
      </c>
      <c r="I310" s="37">
        <f t="shared" si="264"/>
        <v>0</v>
      </c>
      <c r="J310" s="28">
        <f t="shared" si="264"/>
        <v>0</v>
      </c>
      <c r="K310" s="28">
        <f t="shared" si="264"/>
        <v>0</v>
      </c>
      <c r="L310" s="28">
        <f t="shared" si="264"/>
        <v>0</v>
      </c>
      <c r="M310" s="35">
        <f t="shared" si="264"/>
        <v>0</v>
      </c>
      <c r="N310" s="92">
        <f t="shared" si="264"/>
        <v>0</v>
      </c>
      <c r="O310" s="28">
        <f t="shared" si="264"/>
        <v>0</v>
      </c>
      <c r="P310" s="28">
        <f t="shared" ref="P310:R310" si="265">SUM(P311:P314)</f>
        <v>0</v>
      </c>
      <c r="Q310" s="28">
        <f t="shared" si="265"/>
        <v>0</v>
      </c>
      <c r="R310" s="28">
        <f t="shared" si="265"/>
        <v>0</v>
      </c>
      <c r="S310" s="23" t="s">
        <v>27</v>
      </c>
    </row>
    <row r="311" spans="1:19" s="22" customFormat="1" ht="16.5" x14ac:dyDescent="0.25">
      <c r="A311" s="23">
        <f>A310+1</f>
        <v>252</v>
      </c>
      <c r="B311" s="111" t="s">
        <v>22</v>
      </c>
      <c r="C311" s="112"/>
      <c r="D311" s="28">
        <f>SUM(E311:R311)</f>
        <v>0</v>
      </c>
      <c r="E311" s="29">
        <f t="shared" ref="E311:K314" si="266">E317</f>
        <v>0</v>
      </c>
      <c r="F311" s="29">
        <f t="shared" si="266"/>
        <v>0</v>
      </c>
      <c r="G311" s="29">
        <f t="shared" si="266"/>
        <v>0</v>
      </c>
      <c r="H311" s="38">
        <f t="shared" si="266"/>
        <v>0</v>
      </c>
      <c r="I311" s="38">
        <f t="shared" si="266"/>
        <v>0</v>
      </c>
      <c r="J311" s="29">
        <f t="shared" si="266"/>
        <v>0</v>
      </c>
      <c r="K311" s="29">
        <f t="shared" si="266"/>
        <v>0</v>
      </c>
      <c r="L311" s="29">
        <v>0</v>
      </c>
      <c r="M311" s="30">
        <v>0</v>
      </c>
      <c r="N311" s="91">
        <v>0</v>
      </c>
      <c r="O311" s="29">
        <v>0</v>
      </c>
      <c r="P311" s="29">
        <v>0</v>
      </c>
      <c r="Q311" s="29">
        <v>0</v>
      </c>
      <c r="R311" s="29">
        <v>0</v>
      </c>
      <c r="S311" s="23" t="s">
        <v>27</v>
      </c>
    </row>
    <row r="312" spans="1:19" s="22" customFormat="1" ht="16.5" x14ac:dyDescent="0.25">
      <c r="A312" s="23">
        <f>A311+1</f>
        <v>253</v>
      </c>
      <c r="B312" s="111" t="s">
        <v>23</v>
      </c>
      <c r="C312" s="112"/>
      <c r="D312" s="28">
        <f t="shared" ref="D312:D314" si="267">SUM(E312:R312)</f>
        <v>0</v>
      </c>
      <c r="E312" s="29">
        <f t="shared" si="266"/>
        <v>0</v>
      </c>
      <c r="F312" s="29">
        <f t="shared" si="266"/>
        <v>0</v>
      </c>
      <c r="G312" s="29">
        <f t="shared" si="266"/>
        <v>0</v>
      </c>
      <c r="H312" s="38">
        <f t="shared" si="266"/>
        <v>0</v>
      </c>
      <c r="I312" s="38">
        <f t="shared" si="266"/>
        <v>0</v>
      </c>
      <c r="J312" s="29">
        <f t="shared" si="266"/>
        <v>0</v>
      </c>
      <c r="K312" s="29">
        <f t="shared" si="266"/>
        <v>0</v>
      </c>
      <c r="L312" s="29">
        <v>0</v>
      </c>
      <c r="M312" s="30">
        <v>0</v>
      </c>
      <c r="N312" s="91">
        <v>0</v>
      </c>
      <c r="O312" s="29">
        <v>0</v>
      </c>
      <c r="P312" s="29">
        <v>0</v>
      </c>
      <c r="Q312" s="29">
        <v>0</v>
      </c>
      <c r="R312" s="29">
        <v>0</v>
      </c>
      <c r="S312" s="23" t="s">
        <v>27</v>
      </c>
    </row>
    <row r="313" spans="1:19" s="22" customFormat="1" ht="16.5" x14ac:dyDescent="0.25">
      <c r="A313" s="23">
        <f>A312+1</f>
        <v>254</v>
      </c>
      <c r="B313" s="111" t="s">
        <v>24</v>
      </c>
      <c r="C313" s="112"/>
      <c r="D313" s="28">
        <f t="shared" si="267"/>
        <v>0</v>
      </c>
      <c r="E313" s="29">
        <f t="shared" si="266"/>
        <v>0</v>
      </c>
      <c r="F313" s="29">
        <f t="shared" si="266"/>
        <v>0</v>
      </c>
      <c r="G313" s="29">
        <f t="shared" si="266"/>
        <v>0</v>
      </c>
      <c r="H313" s="38">
        <f t="shared" si="266"/>
        <v>0</v>
      </c>
      <c r="I313" s="38">
        <f t="shared" si="266"/>
        <v>0</v>
      </c>
      <c r="J313" s="29">
        <f t="shared" si="266"/>
        <v>0</v>
      </c>
      <c r="K313" s="29">
        <f t="shared" si="266"/>
        <v>0</v>
      </c>
      <c r="L313" s="29">
        <f>L319</f>
        <v>0</v>
      </c>
      <c r="M313" s="30">
        <f>M319</f>
        <v>0</v>
      </c>
      <c r="N313" s="91">
        <f>N319</f>
        <v>0</v>
      </c>
      <c r="O313" s="29">
        <f>O319</f>
        <v>0</v>
      </c>
      <c r="P313" s="29">
        <f t="shared" ref="P313:R313" si="268">P319</f>
        <v>0</v>
      </c>
      <c r="Q313" s="29">
        <f t="shared" si="268"/>
        <v>0</v>
      </c>
      <c r="R313" s="29">
        <f t="shared" si="268"/>
        <v>0</v>
      </c>
      <c r="S313" s="23" t="s">
        <v>27</v>
      </c>
    </row>
    <row r="314" spans="1:19" s="22" customFormat="1" ht="16.5" x14ac:dyDescent="0.25">
      <c r="A314" s="23">
        <f>A313+1</f>
        <v>255</v>
      </c>
      <c r="B314" s="111" t="s">
        <v>25</v>
      </c>
      <c r="C314" s="112"/>
      <c r="D314" s="28">
        <f t="shared" si="267"/>
        <v>0</v>
      </c>
      <c r="E314" s="29">
        <f t="shared" si="266"/>
        <v>0</v>
      </c>
      <c r="F314" s="29">
        <f t="shared" si="266"/>
        <v>0</v>
      </c>
      <c r="G314" s="29">
        <f t="shared" si="266"/>
        <v>0</v>
      </c>
      <c r="H314" s="38">
        <f t="shared" si="266"/>
        <v>0</v>
      </c>
      <c r="I314" s="38">
        <f t="shared" si="266"/>
        <v>0</v>
      </c>
      <c r="J314" s="29">
        <f t="shared" si="266"/>
        <v>0</v>
      </c>
      <c r="K314" s="29">
        <f t="shared" si="266"/>
        <v>0</v>
      </c>
      <c r="L314" s="29">
        <v>0</v>
      </c>
      <c r="M314" s="30">
        <v>0</v>
      </c>
      <c r="N314" s="91">
        <v>0</v>
      </c>
      <c r="O314" s="29">
        <v>0</v>
      </c>
      <c r="P314" s="29"/>
      <c r="Q314" s="29"/>
      <c r="R314" s="29"/>
      <c r="S314" s="23" t="s">
        <v>27</v>
      </c>
    </row>
    <row r="315" spans="1:19" s="22" customFormat="1" ht="24.75" customHeight="1" x14ac:dyDescent="0.25">
      <c r="A315" s="119" t="s">
        <v>26</v>
      </c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1"/>
    </row>
    <row r="316" spans="1:19" s="22" customFormat="1" ht="16.5" x14ac:dyDescent="0.25">
      <c r="A316" s="23">
        <f>A314+1</f>
        <v>256</v>
      </c>
      <c r="B316" s="119" t="s">
        <v>26</v>
      </c>
      <c r="C316" s="121"/>
      <c r="D316" s="28">
        <f>SUM(E316:R316)</f>
        <v>0</v>
      </c>
      <c r="E316" s="28">
        <f t="shared" ref="E316:O316" si="269">SUM(E317:E320)</f>
        <v>0</v>
      </c>
      <c r="F316" s="28">
        <f t="shared" si="269"/>
        <v>0</v>
      </c>
      <c r="G316" s="28">
        <f t="shared" si="269"/>
        <v>0</v>
      </c>
      <c r="H316" s="37">
        <f t="shared" si="269"/>
        <v>0</v>
      </c>
      <c r="I316" s="37">
        <f t="shared" si="269"/>
        <v>0</v>
      </c>
      <c r="J316" s="28">
        <f t="shared" si="269"/>
        <v>0</v>
      </c>
      <c r="K316" s="28">
        <f t="shared" si="269"/>
        <v>0</v>
      </c>
      <c r="L316" s="28">
        <f t="shared" si="269"/>
        <v>0</v>
      </c>
      <c r="M316" s="35">
        <f t="shared" si="269"/>
        <v>0</v>
      </c>
      <c r="N316" s="92">
        <f t="shared" si="269"/>
        <v>0</v>
      </c>
      <c r="O316" s="28">
        <f t="shared" si="269"/>
        <v>0</v>
      </c>
      <c r="P316" s="28">
        <f t="shared" ref="P316:R316" si="270">SUM(P317:P320)</f>
        <v>0</v>
      </c>
      <c r="Q316" s="28">
        <f t="shared" si="270"/>
        <v>0</v>
      </c>
      <c r="R316" s="28">
        <f t="shared" si="270"/>
        <v>0</v>
      </c>
      <c r="S316" s="23" t="s">
        <v>27</v>
      </c>
    </row>
    <row r="317" spans="1:19" s="22" customFormat="1" ht="16.5" x14ac:dyDescent="0.25">
      <c r="A317" s="23">
        <f>A316+1</f>
        <v>257</v>
      </c>
      <c r="B317" s="111" t="s">
        <v>22</v>
      </c>
      <c r="C317" s="112"/>
      <c r="D317" s="28">
        <f t="shared" ref="D317:D320" si="271">SUM(E317:R317)</f>
        <v>0</v>
      </c>
      <c r="E317" s="29">
        <f t="shared" ref="E317:K320" si="272">E323</f>
        <v>0</v>
      </c>
      <c r="F317" s="29">
        <f t="shared" si="272"/>
        <v>0</v>
      </c>
      <c r="G317" s="29">
        <f t="shared" si="272"/>
        <v>0</v>
      </c>
      <c r="H317" s="38">
        <f t="shared" si="272"/>
        <v>0</v>
      </c>
      <c r="I317" s="38">
        <f t="shared" si="272"/>
        <v>0</v>
      </c>
      <c r="J317" s="29">
        <f t="shared" si="272"/>
        <v>0</v>
      </c>
      <c r="K317" s="29">
        <f t="shared" si="272"/>
        <v>0</v>
      </c>
      <c r="L317" s="29">
        <v>0</v>
      </c>
      <c r="M317" s="30">
        <v>0</v>
      </c>
      <c r="N317" s="91">
        <v>0</v>
      </c>
      <c r="O317" s="29">
        <v>0</v>
      </c>
      <c r="P317" s="29">
        <v>0</v>
      </c>
      <c r="Q317" s="29">
        <v>0</v>
      </c>
      <c r="R317" s="29">
        <v>0</v>
      </c>
      <c r="S317" s="23" t="s">
        <v>27</v>
      </c>
    </row>
    <row r="318" spans="1:19" s="22" customFormat="1" ht="16.5" x14ac:dyDescent="0.25">
      <c r="A318" s="23">
        <f>A317+1</f>
        <v>258</v>
      </c>
      <c r="B318" s="111" t="s">
        <v>23</v>
      </c>
      <c r="C318" s="112"/>
      <c r="D318" s="28">
        <f t="shared" si="271"/>
        <v>0</v>
      </c>
      <c r="E318" s="29">
        <f t="shared" si="272"/>
        <v>0</v>
      </c>
      <c r="F318" s="29">
        <f t="shared" si="272"/>
        <v>0</v>
      </c>
      <c r="G318" s="29">
        <f t="shared" si="272"/>
        <v>0</v>
      </c>
      <c r="H318" s="38">
        <f t="shared" si="272"/>
        <v>0</v>
      </c>
      <c r="I318" s="38">
        <f t="shared" si="272"/>
        <v>0</v>
      </c>
      <c r="J318" s="29">
        <f t="shared" si="272"/>
        <v>0</v>
      </c>
      <c r="K318" s="29">
        <f t="shared" si="272"/>
        <v>0</v>
      </c>
      <c r="L318" s="29">
        <v>0</v>
      </c>
      <c r="M318" s="30">
        <v>0</v>
      </c>
      <c r="N318" s="91">
        <v>0</v>
      </c>
      <c r="O318" s="29">
        <v>0</v>
      </c>
      <c r="P318" s="29">
        <v>0</v>
      </c>
      <c r="Q318" s="29">
        <v>0</v>
      </c>
      <c r="R318" s="29">
        <v>0</v>
      </c>
      <c r="S318" s="23" t="s">
        <v>27</v>
      </c>
    </row>
    <row r="319" spans="1:19" s="22" customFormat="1" ht="16.5" x14ac:dyDescent="0.25">
      <c r="A319" s="23">
        <f>A318+1</f>
        <v>259</v>
      </c>
      <c r="B319" s="111" t="s">
        <v>24</v>
      </c>
      <c r="C319" s="112"/>
      <c r="D319" s="28">
        <f t="shared" si="271"/>
        <v>0</v>
      </c>
      <c r="E319" s="29">
        <f t="shared" si="272"/>
        <v>0</v>
      </c>
      <c r="F319" s="29">
        <f t="shared" si="272"/>
        <v>0</v>
      </c>
      <c r="G319" s="29">
        <f t="shared" si="272"/>
        <v>0</v>
      </c>
      <c r="H319" s="38">
        <f t="shared" si="272"/>
        <v>0</v>
      </c>
      <c r="I319" s="38">
        <f t="shared" si="272"/>
        <v>0</v>
      </c>
      <c r="J319" s="29">
        <f t="shared" si="272"/>
        <v>0</v>
      </c>
      <c r="K319" s="29">
        <f t="shared" si="272"/>
        <v>0</v>
      </c>
      <c r="L319" s="29">
        <f>L325</f>
        <v>0</v>
      </c>
      <c r="M319" s="30">
        <f>M325</f>
        <v>0</v>
      </c>
      <c r="N319" s="91">
        <f>N325</f>
        <v>0</v>
      </c>
      <c r="O319" s="29">
        <f>O325</f>
        <v>0</v>
      </c>
      <c r="P319" s="29">
        <f t="shared" ref="P319:R319" si="273">P325</f>
        <v>0</v>
      </c>
      <c r="Q319" s="29">
        <f t="shared" si="273"/>
        <v>0</v>
      </c>
      <c r="R319" s="29">
        <f t="shared" si="273"/>
        <v>0</v>
      </c>
      <c r="S319" s="23" t="s">
        <v>27</v>
      </c>
    </row>
    <row r="320" spans="1:19" s="22" customFormat="1" ht="16.5" x14ac:dyDescent="0.25">
      <c r="A320" s="23">
        <f>A319+1</f>
        <v>260</v>
      </c>
      <c r="B320" s="132" t="s">
        <v>25</v>
      </c>
      <c r="C320" s="133"/>
      <c r="D320" s="28">
        <f t="shared" si="271"/>
        <v>0</v>
      </c>
      <c r="E320" s="29">
        <f t="shared" si="272"/>
        <v>0</v>
      </c>
      <c r="F320" s="29">
        <f t="shared" si="272"/>
        <v>0</v>
      </c>
      <c r="G320" s="29">
        <f t="shared" si="272"/>
        <v>0</v>
      </c>
      <c r="H320" s="38">
        <f t="shared" si="272"/>
        <v>0</v>
      </c>
      <c r="I320" s="38">
        <f t="shared" si="272"/>
        <v>0</v>
      </c>
      <c r="J320" s="29">
        <f t="shared" si="272"/>
        <v>0</v>
      </c>
      <c r="K320" s="29">
        <f t="shared" si="272"/>
        <v>0</v>
      </c>
      <c r="L320" s="29">
        <v>0</v>
      </c>
      <c r="M320" s="30">
        <v>0</v>
      </c>
      <c r="N320" s="91">
        <v>0</v>
      </c>
      <c r="O320" s="29">
        <v>0</v>
      </c>
      <c r="P320" s="29">
        <v>0</v>
      </c>
      <c r="Q320" s="29">
        <v>0</v>
      </c>
      <c r="R320" s="29">
        <v>0</v>
      </c>
      <c r="S320" s="23" t="s">
        <v>27</v>
      </c>
    </row>
    <row r="321" spans="1:19" s="22" customFormat="1" ht="16.5" x14ac:dyDescent="0.25">
      <c r="A321" s="102">
        <f>A320+1</f>
        <v>261</v>
      </c>
      <c r="B321" s="139" t="s">
        <v>46</v>
      </c>
      <c r="C321" s="140"/>
      <c r="D321" s="104">
        <f>SUM(E321:R322)</f>
        <v>0</v>
      </c>
      <c r="E321" s="104">
        <f t="shared" ref="E321:O321" si="274">SUM(E323:E326)</f>
        <v>0</v>
      </c>
      <c r="F321" s="104">
        <f t="shared" si="274"/>
        <v>0</v>
      </c>
      <c r="G321" s="104">
        <f t="shared" si="274"/>
        <v>0</v>
      </c>
      <c r="H321" s="117">
        <f t="shared" si="274"/>
        <v>0</v>
      </c>
      <c r="I321" s="117">
        <f t="shared" si="274"/>
        <v>0</v>
      </c>
      <c r="J321" s="104">
        <f t="shared" si="274"/>
        <v>0</v>
      </c>
      <c r="K321" s="104">
        <f t="shared" si="274"/>
        <v>0</v>
      </c>
      <c r="L321" s="104">
        <f t="shared" si="274"/>
        <v>0</v>
      </c>
      <c r="M321" s="115">
        <f t="shared" si="274"/>
        <v>0</v>
      </c>
      <c r="N321" s="109">
        <f t="shared" si="274"/>
        <v>0</v>
      </c>
      <c r="O321" s="104">
        <f t="shared" si="274"/>
        <v>0</v>
      </c>
      <c r="P321" s="104">
        <f t="shared" ref="P321:R321" si="275">SUM(P323:P326)</f>
        <v>0</v>
      </c>
      <c r="Q321" s="104">
        <f t="shared" si="275"/>
        <v>0</v>
      </c>
      <c r="R321" s="104">
        <f t="shared" si="275"/>
        <v>0</v>
      </c>
      <c r="S321" s="102">
        <v>72</v>
      </c>
    </row>
    <row r="322" spans="1:19" s="57" customFormat="1" ht="126.75" customHeight="1" x14ac:dyDescent="0.25">
      <c r="A322" s="103"/>
      <c r="B322" s="137" t="s">
        <v>92</v>
      </c>
      <c r="C322" s="138"/>
      <c r="D322" s="106"/>
      <c r="E322" s="106"/>
      <c r="F322" s="106"/>
      <c r="G322" s="106"/>
      <c r="H322" s="118"/>
      <c r="I322" s="118"/>
      <c r="J322" s="106"/>
      <c r="K322" s="106"/>
      <c r="L322" s="106"/>
      <c r="M322" s="116"/>
      <c r="N322" s="110"/>
      <c r="O322" s="106"/>
      <c r="P322" s="106"/>
      <c r="Q322" s="106"/>
      <c r="R322" s="106"/>
      <c r="S322" s="103"/>
    </row>
    <row r="323" spans="1:19" s="22" customFormat="1" ht="16.5" x14ac:dyDescent="0.25">
      <c r="A323" s="23">
        <f>A321+1</f>
        <v>262</v>
      </c>
      <c r="B323" s="113" t="s">
        <v>22</v>
      </c>
      <c r="C323" s="114"/>
      <c r="D323" s="28">
        <f>SUM(E323:R323)</f>
        <v>0</v>
      </c>
      <c r="E323" s="29">
        <v>0</v>
      </c>
      <c r="F323" s="29">
        <v>0</v>
      </c>
      <c r="G323" s="29">
        <v>0</v>
      </c>
      <c r="H323" s="38">
        <v>0</v>
      </c>
      <c r="I323" s="38">
        <v>0</v>
      </c>
      <c r="J323" s="29">
        <v>0</v>
      </c>
      <c r="K323" s="29">
        <v>0</v>
      </c>
      <c r="L323" s="29">
        <v>0</v>
      </c>
      <c r="M323" s="30">
        <v>0</v>
      </c>
      <c r="N323" s="91">
        <v>0</v>
      </c>
      <c r="O323" s="29">
        <v>0</v>
      </c>
      <c r="P323" s="29">
        <v>0</v>
      </c>
      <c r="Q323" s="29">
        <v>0</v>
      </c>
      <c r="R323" s="29">
        <v>0</v>
      </c>
      <c r="S323" s="23" t="s">
        <v>27</v>
      </c>
    </row>
    <row r="324" spans="1:19" s="46" customFormat="1" ht="16.5" x14ac:dyDescent="0.25">
      <c r="A324" s="23">
        <f>A323+1</f>
        <v>263</v>
      </c>
      <c r="B324" s="111" t="s">
        <v>23</v>
      </c>
      <c r="C324" s="112"/>
      <c r="D324" s="28">
        <f t="shared" ref="D324:D325" si="276">SUM(E324:R324)</f>
        <v>0</v>
      </c>
      <c r="E324" s="29">
        <v>0</v>
      </c>
      <c r="F324" s="29">
        <v>0</v>
      </c>
      <c r="G324" s="29">
        <v>0</v>
      </c>
      <c r="H324" s="38">
        <v>0</v>
      </c>
      <c r="I324" s="38">
        <v>0</v>
      </c>
      <c r="J324" s="29">
        <v>0</v>
      </c>
      <c r="K324" s="29">
        <v>0</v>
      </c>
      <c r="L324" s="29">
        <v>0</v>
      </c>
      <c r="M324" s="30">
        <v>0</v>
      </c>
      <c r="N324" s="91">
        <v>0</v>
      </c>
      <c r="O324" s="29">
        <v>0</v>
      </c>
      <c r="P324" s="29">
        <v>0</v>
      </c>
      <c r="Q324" s="29">
        <v>0</v>
      </c>
      <c r="R324" s="29">
        <v>0</v>
      </c>
      <c r="S324" s="23" t="s">
        <v>27</v>
      </c>
    </row>
    <row r="325" spans="1:19" s="22" customFormat="1" ht="16.5" x14ac:dyDescent="0.25">
      <c r="A325" s="23">
        <f>A324+1</f>
        <v>264</v>
      </c>
      <c r="B325" s="111" t="s">
        <v>24</v>
      </c>
      <c r="C325" s="112"/>
      <c r="D325" s="28">
        <f t="shared" si="276"/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30">
        <v>0</v>
      </c>
      <c r="N325" s="91">
        <v>0</v>
      </c>
      <c r="O325" s="29">
        <v>0</v>
      </c>
      <c r="P325" s="29">
        <v>0</v>
      </c>
      <c r="Q325" s="29">
        <v>0</v>
      </c>
      <c r="R325" s="29">
        <v>0</v>
      </c>
      <c r="S325" s="23" t="s">
        <v>27</v>
      </c>
    </row>
    <row r="326" spans="1:19" s="22" customFormat="1" ht="16.5" x14ac:dyDescent="0.25">
      <c r="A326" s="23">
        <f>A325+1</f>
        <v>265</v>
      </c>
      <c r="B326" s="111" t="s">
        <v>25</v>
      </c>
      <c r="C326" s="112"/>
      <c r="D326" s="28">
        <f>SUM(E326:R326)</f>
        <v>0</v>
      </c>
      <c r="E326" s="29">
        <v>0</v>
      </c>
      <c r="F326" s="29">
        <v>0</v>
      </c>
      <c r="G326" s="29">
        <v>0</v>
      </c>
      <c r="H326" s="38">
        <v>0</v>
      </c>
      <c r="I326" s="38">
        <v>0</v>
      </c>
      <c r="J326" s="29">
        <v>0</v>
      </c>
      <c r="K326" s="29">
        <v>0</v>
      </c>
      <c r="L326" s="29">
        <v>0</v>
      </c>
      <c r="M326" s="30">
        <v>0</v>
      </c>
      <c r="N326" s="91">
        <v>0</v>
      </c>
      <c r="O326" s="29">
        <v>0</v>
      </c>
      <c r="P326" s="29">
        <v>0</v>
      </c>
      <c r="Q326" s="29">
        <v>0</v>
      </c>
      <c r="R326" s="29">
        <v>0</v>
      </c>
      <c r="S326" s="23" t="s">
        <v>27</v>
      </c>
    </row>
  </sheetData>
  <mergeCells count="695">
    <mergeCell ref="B277:C277"/>
    <mergeCell ref="B279:C279"/>
    <mergeCell ref="B305:C305"/>
    <mergeCell ref="B306:C306"/>
    <mergeCell ref="B307:C307"/>
    <mergeCell ref="N1:S4"/>
    <mergeCell ref="P321:P322"/>
    <mergeCell ref="Q321:Q322"/>
    <mergeCell ref="R321:R322"/>
    <mergeCell ref="R271:R272"/>
    <mergeCell ref="P277:P278"/>
    <mergeCell ref="P285:P286"/>
    <mergeCell ref="Q277:Q278"/>
    <mergeCell ref="Q285:Q286"/>
    <mergeCell ref="R277:R278"/>
    <mergeCell ref="R285:R286"/>
    <mergeCell ref="P303:P304"/>
    <mergeCell ref="Q303:Q304"/>
    <mergeCell ref="R303:R304"/>
    <mergeCell ref="B308:C308"/>
    <mergeCell ref="B310:C310"/>
    <mergeCell ref="B311:C311"/>
    <mergeCell ref="I131:I132"/>
    <mergeCell ref="H131:H132"/>
    <mergeCell ref="A321:A322"/>
    <mergeCell ref="A303:A304"/>
    <mergeCell ref="A285:A286"/>
    <mergeCell ref="A277:A278"/>
    <mergeCell ref="A265:A266"/>
    <mergeCell ref="A131:A132"/>
    <mergeCell ref="A259:A260"/>
    <mergeCell ref="A149:A150"/>
    <mergeCell ref="A239:A240"/>
    <mergeCell ref="A155:A156"/>
    <mergeCell ref="A233:A234"/>
    <mergeCell ref="A161:A162"/>
    <mergeCell ref="A271:A272"/>
    <mergeCell ref="A203:A204"/>
    <mergeCell ref="A227:A228"/>
    <mergeCell ref="A221:A222"/>
    <mergeCell ref="A137:S137"/>
    <mergeCell ref="S131:S132"/>
    <mergeCell ref="J131:J132"/>
    <mergeCell ref="G131:G132"/>
    <mergeCell ref="B287:C287"/>
    <mergeCell ref="B286:C286"/>
    <mergeCell ref="B288:C288"/>
    <mergeCell ref="B276:C276"/>
    <mergeCell ref="N131:N132"/>
    <mergeCell ref="O131:O132"/>
    <mergeCell ref="L131:L132"/>
    <mergeCell ref="M131:M132"/>
    <mergeCell ref="K131:K132"/>
    <mergeCell ref="A143:S143"/>
    <mergeCell ref="F131:F132"/>
    <mergeCell ref="C144:D144"/>
    <mergeCell ref="C145:D145"/>
    <mergeCell ref="C146:D146"/>
    <mergeCell ref="C148:D148"/>
    <mergeCell ref="B133:C133"/>
    <mergeCell ref="S155:S156"/>
    <mergeCell ref="O155:O156"/>
    <mergeCell ref="M155:M156"/>
    <mergeCell ref="K155:K156"/>
    <mergeCell ref="E155:E156"/>
    <mergeCell ref="L155:L156"/>
    <mergeCell ref="H155:H156"/>
    <mergeCell ref="S149:S150"/>
    <mergeCell ref="O149:O150"/>
    <mergeCell ref="N149:N150"/>
    <mergeCell ref="M149:M150"/>
    <mergeCell ref="L149:L150"/>
    <mergeCell ref="K149:K150"/>
    <mergeCell ref="J149:J150"/>
    <mergeCell ref="I149:I150"/>
    <mergeCell ref="H149:H150"/>
    <mergeCell ref="N155:N156"/>
    <mergeCell ref="G155:G156"/>
    <mergeCell ref="F155:F156"/>
    <mergeCell ref="P155:P156"/>
    <mergeCell ref="Q155:Q156"/>
    <mergeCell ref="R155:R156"/>
    <mergeCell ref="G161:G162"/>
    <mergeCell ref="H161:H162"/>
    <mergeCell ref="I161:I162"/>
    <mergeCell ref="M161:M162"/>
    <mergeCell ref="O161:O162"/>
    <mergeCell ref="P161:P162"/>
    <mergeCell ref="Q161:Q162"/>
    <mergeCell ref="R161:R162"/>
    <mergeCell ref="K161:K162"/>
    <mergeCell ref="L161:L162"/>
    <mergeCell ref="G149:G150"/>
    <mergeCell ref="F149:F150"/>
    <mergeCell ref="E149:E150"/>
    <mergeCell ref="C151:D151"/>
    <mergeCell ref="C152:D152"/>
    <mergeCell ref="C153:D153"/>
    <mergeCell ref="C154:D154"/>
    <mergeCell ref="C155:D156"/>
    <mergeCell ref="C149:D150"/>
    <mergeCell ref="E161:E162"/>
    <mergeCell ref="J155:J156"/>
    <mergeCell ref="I155:I156"/>
    <mergeCell ref="S161:S162"/>
    <mergeCell ref="J161:J162"/>
    <mergeCell ref="N161:N162"/>
    <mergeCell ref="F161:F162"/>
    <mergeCell ref="S28:S29"/>
    <mergeCell ref="N6:S6"/>
    <mergeCell ref="N7:S7"/>
    <mergeCell ref="N8:S8"/>
    <mergeCell ref="O15:O16"/>
    <mergeCell ref="S12:S13"/>
    <mergeCell ref="S15:S16"/>
    <mergeCell ref="N15:N16"/>
    <mergeCell ref="A10:S10"/>
    <mergeCell ref="A11:S11"/>
    <mergeCell ref="A12:A13"/>
    <mergeCell ref="B12:B13"/>
    <mergeCell ref="B14:C14"/>
    <mergeCell ref="C161:D162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C17"/>
    <mergeCell ref="B18:C18"/>
    <mergeCell ref="B19:C19"/>
    <mergeCell ref="B20:C20"/>
    <mergeCell ref="B36:C36"/>
    <mergeCell ref="A21:S21"/>
    <mergeCell ref="A27:S27"/>
    <mergeCell ref="A33:S33"/>
    <mergeCell ref="B24:C24"/>
    <mergeCell ref="A39:S39"/>
    <mergeCell ref="B37:C37"/>
    <mergeCell ref="B40:C40"/>
    <mergeCell ref="B38:C38"/>
    <mergeCell ref="B23:C23"/>
    <mergeCell ref="B25:C25"/>
    <mergeCell ref="B26:C26"/>
    <mergeCell ref="B29:C29"/>
    <mergeCell ref="B30:C30"/>
    <mergeCell ref="B31:C31"/>
    <mergeCell ref="B32:C32"/>
    <mergeCell ref="B34:C34"/>
    <mergeCell ref="B35:C35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1:C41"/>
    <mergeCell ref="B42:C42"/>
    <mergeCell ref="B43:C43"/>
    <mergeCell ref="B44:C44"/>
    <mergeCell ref="B45:C45"/>
    <mergeCell ref="B46:C46"/>
    <mergeCell ref="S45:S46"/>
    <mergeCell ref="N45:N46"/>
    <mergeCell ref="O45:O46"/>
    <mergeCell ref="B47:C47"/>
    <mergeCell ref="B48:C48"/>
    <mergeCell ref="B49:C49"/>
    <mergeCell ref="B50:C50"/>
    <mergeCell ref="B53:C53"/>
    <mergeCell ref="M51:M52"/>
    <mergeCell ref="L51:L52"/>
    <mergeCell ref="K51:K52"/>
    <mergeCell ref="J51:J52"/>
    <mergeCell ref="I51:I52"/>
    <mergeCell ref="H51:H52"/>
    <mergeCell ref="S103:S104"/>
    <mergeCell ref="S97:S98"/>
    <mergeCell ref="S57:S58"/>
    <mergeCell ref="K103:K104"/>
    <mergeCell ref="R103:R104"/>
    <mergeCell ref="A51:A52"/>
    <mergeCell ref="C51:D52"/>
    <mergeCell ref="E51:E52"/>
    <mergeCell ref="G51:G52"/>
    <mergeCell ref="F51:F52"/>
    <mergeCell ref="C54:D54"/>
    <mergeCell ref="C55:D55"/>
    <mergeCell ref="B56:C56"/>
    <mergeCell ref="C57:D58"/>
    <mergeCell ref="E57:E58"/>
    <mergeCell ref="F57:F58"/>
    <mergeCell ref="G57:G58"/>
    <mergeCell ref="N51:N52"/>
    <mergeCell ref="N97:N98"/>
    <mergeCell ref="O97:O98"/>
    <mergeCell ref="H57:H58"/>
    <mergeCell ref="I57:I58"/>
    <mergeCell ref="J57:J58"/>
    <mergeCell ref="K57:K58"/>
    <mergeCell ref="L57:L58"/>
    <mergeCell ref="M57:M58"/>
    <mergeCell ref="B83:C83"/>
    <mergeCell ref="B84:C84"/>
    <mergeCell ref="B86:C86"/>
    <mergeCell ref="B87:C87"/>
    <mergeCell ref="B88:C88"/>
    <mergeCell ref="B90:C90"/>
    <mergeCell ref="B93:C93"/>
    <mergeCell ref="B81:C81"/>
    <mergeCell ref="B78:C78"/>
    <mergeCell ref="B77:C77"/>
    <mergeCell ref="B80:C80"/>
    <mergeCell ref="B82:C82"/>
    <mergeCell ref="B69:C69"/>
    <mergeCell ref="C70:D70"/>
    <mergeCell ref="C71:D71"/>
    <mergeCell ref="B72:C72"/>
    <mergeCell ref="B94:C94"/>
    <mergeCell ref="S51:S52"/>
    <mergeCell ref="O57:O58"/>
    <mergeCell ref="N57:N58"/>
    <mergeCell ref="O51:O52"/>
    <mergeCell ref="B95:C95"/>
    <mergeCell ref="B96:C96"/>
    <mergeCell ref="B89:C89"/>
    <mergeCell ref="A57:A58"/>
    <mergeCell ref="B59:C59"/>
    <mergeCell ref="C60:D60"/>
    <mergeCell ref="C61:D61"/>
    <mergeCell ref="B62:C62"/>
    <mergeCell ref="B64:C64"/>
    <mergeCell ref="C65:D65"/>
    <mergeCell ref="C66:D66"/>
    <mergeCell ref="B67:C67"/>
    <mergeCell ref="B74:C74"/>
    <mergeCell ref="B75:C75"/>
    <mergeCell ref="B76:C76"/>
    <mergeCell ref="A91:S91"/>
    <mergeCell ref="A85:S85"/>
    <mergeCell ref="A79:S79"/>
    <mergeCell ref="A73:S73"/>
    <mergeCell ref="F125:F126"/>
    <mergeCell ref="I125:I126"/>
    <mergeCell ref="J125:J126"/>
    <mergeCell ref="K125:K126"/>
    <mergeCell ref="B123:C123"/>
    <mergeCell ref="B122:C122"/>
    <mergeCell ref="B124:C124"/>
    <mergeCell ref="A119:S119"/>
    <mergeCell ref="M125:M126"/>
    <mergeCell ref="S125:S126"/>
    <mergeCell ref="H125:H126"/>
    <mergeCell ref="G125:G126"/>
    <mergeCell ref="L125:L126"/>
    <mergeCell ref="N125:N126"/>
    <mergeCell ref="O125:O126"/>
    <mergeCell ref="B121:C121"/>
    <mergeCell ref="A125:A126"/>
    <mergeCell ref="B114:C114"/>
    <mergeCell ref="B113:C113"/>
    <mergeCell ref="B112:C112"/>
    <mergeCell ref="B111:C111"/>
    <mergeCell ref="B108:C108"/>
    <mergeCell ref="B107:C107"/>
    <mergeCell ref="B106:C106"/>
    <mergeCell ref="B105:C105"/>
    <mergeCell ref="G103:G104"/>
    <mergeCell ref="E109:E110"/>
    <mergeCell ref="F109:F110"/>
    <mergeCell ref="O103:O104"/>
    <mergeCell ref="N103:N104"/>
    <mergeCell ref="M103:M104"/>
    <mergeCell ref="J103:J104"/>
    <mergeCell ref="I103:I104"/>
    <mergeCell ref="H103:H104"/>
    <mergeCell ref="D103:D104"/>
    <mergeCell ref="G109:G110"/>
    <mergeCell ref="I109:I110"/>
    <mergeCell ref="S109:S110"/>
    <mergeCell ref="M109:M110"/>
    <mergeCell ref="N109:N110"/>
    <mergeCell ref="L109:L110"/>
    <mergeCell ref="K109:K110"/>
    <mergeCell ref="J109:J110"/>
    <mergeCell ref="O109:O110"/>
    <mergeCell ref="H109:H110"/>
    <mergeCell ref="B203:C203"/>
    <mergeCell ref="B198:C198"/>
    <mergeCell ref="B200:C200"/>
    <mergeCell ref="B201:C201"/>
    <mergeCell ref="E203:E204"/>
    <mergeCell ref="B194:C194"/>
    <mergeCell ref="B140:C140"/>
    <mergeCell ref="B139:C139"/>
    <mergeCell ref="B138:C138"/>
    <mergeCell ref="B136:C136"/>
    <mergeCell ref="B135:C135"/>
    <mergeCell ref="B134:C134"/>
    <mergeCell ref="C166:D166"/>
    <mergeCell ref="C165:D165"/>
    <mergeCell ref="C164:D164"/>
    <mergeCell ref="C160:D160"/>
    <mergeCell ref="A103:A104"/>
    <mergeCell ref="L103:L104"/>
    <mergeCell ref="F103:F104"/>
    <mergeCell ref="E103:E104"/>
    <mergeCell ref="M97:M98"/>
    <mergeCell ref="L97:L98"/>
    <mergeCell ref="K97:K98"/>
    <mergeCell ref="J97:J98"/>
    <mergeCell ref="I97:I98"/>
    <mergeCell ref="H97:H98"/>
    <mergeCell ref="G97:G98"/>
    <mergeCell ref="D97:D98"/>
    <mergeCell ref="B98:C98"/>
    <mergeCell ref="B97:C97"/>
    <mergeCell ref="A97:A98"/>
    <mergeCell ref="F97:F98"/>
    <mergeCell ref="E97:E98"/>
    <mergeCell ref="B101:C101"/>
    <mergeCell ref="B100:C100"/>
    <mergeCell ref="B99:C99"/>
    <mergeCell ref="B102:C102"/>
    <mergeCell ref="A109:A110"/>
    <mergeCell ref="D109:D110"/>
    <mergeCell ref="C242:D242"/>
    <mergeCell ref="C239:D240"/>
    <mergeCell ref="B244:C244"/>
    <mergeCell ref="B241:C241"/>
    <mergeCell ref="B238:C238"/>
    <mergeCell ref="B218:C218"/>
    <mergeCell ref="B219:C219"/>
    <mergeCell ref="B226:C226"/>
    <mergeCell ref="B227:C227"/>
    <mergeCell ref="B228:C228"/>
    <mergeCell ref="B229:C229"/>
    <mergeCell ref="D233:D234"/>
    <mergeCell ref="B235:C235"/>
    <mergeCell ref="B236:C236"/>
    <mergeCell ref="B237:C237"/>
    <mergeCell ref="B234:C234"/>
    <mergeCell ref="B233:C233"/>
    <mergeCell ref="B225:C225"/>
    <mergeCell ref="B224:C224"/>
    <mergeCell ref="B223:C223"/>
    <mergeCell ref="B230:C230"/>
    <mergeCell ref="B231:C231"/>
    <mergeCell ref="B232:C232"/>
    <mergeCell ref="D227:D228"/>
    <mergeCell ref="B324:C324"/>
    <mergeCell ref="B325:C325"/>
    <mergeCell ref="B326:C326"/>
    <mergeCell ref="B280:C280"/>
    <mergeCell ref="B281:C281"/>
    <mergeCell ref="B275:C275"/>
    <mergeCell ref="D277:D278"/>
    <mergeCell ref="D321:D322"/>
    <mergeCell ref="B322:C322"/>
    <mergeCell ref="B320:C320"/>
    <mergeCell ref="B321:C321"/>
    <mergeCell ref="B264:C264"/>
    <mergeCell ref="B266:C266"/>
    <mergeCell ref="B263:C263"/>
    <mergeCell ref="B262:C262"/>
    <mergeCell ref="B248:C248"/>
    <mergeCell ref="B249:C249"/>
    <mergeCell ref="B250:C250"/>
    <mergeCell ref="B251:C251"/>
    <mergeCell ref="B252:C252"/>
    <mergeCell ref="B254:C254"/>
    <mergeCell ref="B255:C255"/>
    <mergeCell ref="B278:C278"/>
    <mergeCell ref="D285:D286"/>
    <mergeCell ref="E303:E304"/>
    <mergeCell ref="D303:D304"/>
    <mergeCell ref="B304:C304"/>
    <mergeCell ref="B303:C303"/>
    <mergeCell ref="B302:C302"/>
    <mergeCell ref="B301:C301"/>
    <mergeCell ref="B300:C300"/>
    <mergeCell ref="B299:C299"/>
    <mergeCell ref="B298:C298"/>
    <mergeCell ref="B296:C296"/>
    <mergeCell ref="B295:C295"/>
    <mergeCell ref="B294:C294"/>
    <mergeCell ref="B293:C293"/>
    <mergeCell ref="B292:C292"/>
    <mergeCell ref="B285:C285"/>
    <mergeCell ref="B323:C323"/>
    <mergeCell ref="B274:C274"/>
    <mergeCell ref="B290:C290"/>
    <mergeCell ref="B289:C289"/>
    <mergeCell ref="E227:E228"/>
    <mergeCell ref="E239:E240"/>
    <mergeCell ref="E233:E234"/>
    <mergeCell ref="E285:E286"/>
    <mergeCell ref="E259:E260"/>
    <mergeCell ref="D259:D260"/>
    <mergeCell ref="E265:E266"/>
    <mergeCell ref="E271:E272"/>
    <mergeCell ref="D271:D272"/>
    <mergeCell ref="D265:D266"/>
    <mergeCell ref="C243:D243"/>
    <mergeCell ref="B273:C273"/>
    <mergeCell ref="B272:C272"/>
    <mergeCell ref="B271:C271"/>
    <mergeCell ref="B270:C270"/>
    <mergeCell ref="B269:C269"/>
    <mergeCell ref="B268:C268"/>
    <mergeCell ref="B267:C267"/>
    <mergeCell ref="B265:C265"/>
    <mergeCell ref="E277:E278"/>
    <mergeCell ref="C147:D147"/>
    <mergeCell ref="C181:D181"/>
    <mergeCell ref="C182:D182"/>
    <mergeCell ref="C183:D183"/>
    <mergeCell ref="C184:D184"/>
    <mergeCell ref="C185:D185"/>
    <mergeCell ref="C186:D186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59:D159"/>
    <mergeCell ref="C158:D158"/>
    <mergeCell ref="C177:D177"/>
    <mergeCell ref="C178:D178"/>
    <mergeCell ref="C179:D179"/>
    <mergeCell ref="C180:D180"/>
    <mergeCell ref="B261:C261"/>
    <mergeCell ref="M321:M322"/>
    <mergeCell ref="L321:L322"/>
    <mergeCell ref="K321:K322"/>
    <mergeCell ref="J321:J322"/>
    <mergeCell ref="I321:I322"/>
    <mergeCell ref="H321:H322"/>
    <mergeCell ref="G321:G322"/>
    <mergeCell ref="F321:F322"/>
    <mergeCell ref="J303:J304"/>
    <mergeCell ref="F265:F266"/>
    <mergeCell ref="G265:G266"/>
    <mergeCell ref="H265:H266"/>
    <mergeCell ref="I265:I266"/>
    <mergeCell ref="J265:J266"/>
    <mergeCell ref="B312:C312"/>
    <mergeCell ref="B313:C313"/>
    <mergeCell ref="B314:C314"/>
    <mergeCell ref="B316:C316"/>
    <mergeCell ref="B317:C317"/>
    <mergeCell ref="B318:C318"/>
    <mergeCell ref="B319:C319"/>
    <mergeCell ref="B282:C282"/>
    <mergeCell ref="E321:E322"/>
    <mergeCell ref="N321:N322"/>
    <mergeCell ref="O321:O322"/>
    <mergeCell ref="S321:S322"/>
    <mergeCell ref="A291:S291"/>
    <mergeCell ref="A297:S297"/>
    <mergeCell ref="F285:F286"/>
    <mergeCell ref="G285:G286"/>
    <mergeCell ref="H285:H286"/>
    <mergeCell ref="I285:I286"/>
    <mergeCell ref="S285:S286"/>
    <mergeCell ref="J285:J286"/>
    <mergeCell ref="O285:O286"/>
    <mergeCell ref="K285:K286"/>
    <mergeCell ref="N285:N286"/>
    <mergeCell ref="L285:L286"/>
    <mergeCell ref="M285:M286"/>
    <mergeCell ref="A309:S309"/>
    <mergeCell ref="F303:F304"/>
    <mergeCell ref="S303:S304"/>
    <mergeCell ref="O303:O304"/>
    <mergeCell ref="L303:L304"/>
    <mergeCell ref="G303:G304"/>
    <mergeCell ref="H303:H304"/>
    <mergeCell ref="K303:K304"/>
    <mergeCell ref="O277:O278"/>
    <mergeCell ref="S277:S278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S271:S272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P271:P272"/>
    <mergeCell ref="Q271:Q272"/>
    <mergeCell ref="S265:S266"/>
    <mergeCell ref="L265:L266"/>
    <mergeCell ref="M265:M266"/>
    <mergeCell ref="N265:N266"/>
    <mergeCell ref="O265:O266"/>
    <mergeCell ref="K265:K266"/>
    <mergeCell ref="P265:P266"/>
    <mergeCell ref="Q265:Q266"/>
    <mergeCell ref="R265:R266"/>
    <mergeCell ref="O259:O260"/>
    <mergeCell ref="N259:N260"/>
    <mergeCell ref="M259:M260"/>
    <mergeCell ref="L259:L260"/>
    <mergeCell ref="K259:K260"/>
    <mergeCell ref="J259:J260"/>
    <mergeCell ref="A247:S247"/>
    <mergeCell ref="A253:S253"/>
    <mergeCell ref="I259:I260"/>
    <mergeCell ref="S259:S260"/>
    <mergeCell ref="H259:H260"/>
    <mergeCell ref="G259:G260"/>
    <mergeCell ref="F259:F260"/>
    <mergeCell ref="P259:P260"/>
    <mergeCell ref="Q259:Q260"/>
    <mergeCell ref="R259:R260"/>
    <mergeCell ref="B257:C257"/>
    <mergeCell ref="B258:C258"/>
    <mergeCell ref="B259:C259"/>
    <mergeCell ref="B260:C260"/>
    <mergeCell ref="B256:C256"/>
    <mergeCell ref="S239:S240"/>
    <mergeCell ref="O239:O240"/>
    <mergeCell ref="N239:N240"/>
    <mergeCell ref="M239:M240"/>
    <mergeCell ref="L239:L240"/>
    <mergeCell ref="I239:I240"/>
    <mergeCell ref="K239:K240"/>
    <mergeCell ref="H239:H240"/>
    <mergeCell ref="F239:F240"/>
    <mergeCell ref="J239:J240"/>
    <mergeCell ref="G239:G240"/>
    <mergeCell ref="P239:P240"/>
    <mergeCell ref="Q239:Q240"/>
    <mergeCell ref="R239:R240"/>
    <mergeCell ref="S233:S234"/>
    <mergeCell ref="O233:O234"/>
    <mergeCell ref="N233:N234"/>
    <mergeCell ref="M233:M234"/>
    <mergeCell ref="L233:L234"/>
    <mergeCell ref="K233:K234"/>
    <mergeCell ref="J233:J234"/>
    <mergeCell ref="I233:I234"/>
    <mergeCell ref="H233:H234"/>
    <mergeCell ref="P233:P234"/>
    <mergeCell ref="Q233:Q234"/>
    <mergeCell ref="R233:R234"/>
    <mergeCell ref="G233:G234"/>
    <mergeCell ref="F233:F234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S227:S228"/>
    <mergeCell ref="H221:H222"/>
    <mergeCell ref="I221:I222"/>
    <mergeCell ref="J221:J222"/>
    <mergeCell ref="K221:K222"/>
    <mergeCell ref="M221:M222"/>
    <mergeCell ref="N221:N222"/>
    <mergeCell ref="O221:O222"/>
    <mergeCell ref="P221:P222"/>
    <mergeCell ref="Q221:Q222"/>
    <mergeCell ref="R221:R222"/>
    <mergeCell ref="P227:P228"/>
    <mergeCell ref="Q227:Q228"/>
    <mergeCell ref="R227:R228"/>
    <mergeCell ref="B195:C195"/>
    <mergeCell ref="G221:G222"/>
    <mergeCell ref="A215:S215"/>
    <mergeCell ref="F221:F222"/>
    <mergeCell ref="L221:L222"/>
    <mergeCell ref="S221:S222"/>
    <mergeCell ref="B205:C205"/>
    <mergeCell ref="B206:C206"/>
    <mergeCell ref="B207:C207"/>
    <mergeCell ref="B208:C208"/>
    <mergeCell ref="B210:C210"/>
    <mergeCell ref="B211:C211"/>
    <mergeCell ref="B212:C212"/>
    <mergeCell ref="B213:C213"/>
    <mergeCell ref="B214:C214"/>
    <mergeCell ref="B216:C216"/>
    <mergeCell ref="B217:C217"/>
    <mergeCell ref="A209:S209"/>
    <mergeCell ref="E221:E222"/>
    <mergeCell ref="B220:C220"/>
    <mergeCell ref="B222:C222"/>
    <mergeCell ref="B221:C221"/>
    <mergeCell ref="D221:D222"/>
    <mergeCell ref="Q109:Q110"/>
    <mergeCell ref="S203:S204"/>
    <mergeCell ref="O203:O204"/>
    <mergeCell ref="B204:C204"/>
    <mergeCell ref="B199:C199"/>
    <mergeCell ref="L203:L204"/>
    <mergeCell ref="M203:M204"/>
    <mergeCell ref="N203:N204"/>
    <mergeCell ref="A191:S191"/>
    <mergeCell ref="A197:S197"/>
    <mergeCell ref="G203:G204"/>
    <mergeCell ref="H203:H204"/>
    <mergeCell ref="F203:F204"/>
    <mergeCell ref="K203:K204"/>
    <mergeCell ref="I203:I204"/>
    <mergeCell ref="J203:J204"/>
    <mergeCell ref="D203:D204"/>
    <mergeCell ref="P203:P204"/>
    <mergeCell ref="Q203:Q204"/>
    <mergeCell ref="R203:R204"/>
    <mergeCell ref="B202:C202"/>
    <mergeCell ref="B196:C196"/>
    <mergeCell ref="B193:C193"/>
    <mergeCell ref="B192:C192"/>
    <mergeCell ref="B129:C129"/>
    <mergeCell ref="N303:N304"/>
    <mergeCell ref="M303:M304"/>
    <mergeCell ref="I303:I304"/>
    <mergeCell ref="A315:S315"/>
    <mergeCell ref="D12:R12"/>
    <mergeCell ref="P15:P16"/>
    <mergeCell ref="Q15:Q16"/>
    <mergeCell ref="R15:R16"/>
    <mergeCell ref="P45:P46"/>
    <mergeCell ref="Q45:Q46"/>
    <mergeCell ref="R45:R46"/>
    <mergeCell ref="P51:P52"/>
    <mergeCell ref="Q51:Q52"/>
    <mergeCell ref="R51:R52"/>
    <mergeCell ref="P57:P58"/>
    <mergeCell ref="Q57:Q58"/>
    <mergeCell ref="R57:R58"/>
    <mergeCell ref="P97:P98"/>
    <mergeCell ref="Q97:Q98"/>
    <mergeCell ref="R97:R98"/>
    <mergeCell ref="P103:P104"/>
    <mergeCell ref="P109:P110"/>
    <mergeCell ref="Q103:Q104"/>
    <mergeCell ref="S92:S93"/>
    <mergeCell ref="C187:D187"/>
    <mergeCell ref="C188:D188"/>
    <mergeCell ref="C189:D189"/>
    <mergeCell ref="C190:D190"/>
    <mergeCell ref="R109:R110"/>
    <mergeCell ref="P125:P126"/>
    <mergeCell ref="Q125:Q126"/>
    <mergeCell ref="R125:R126"/>
    <mergeCell ref="P131:P132"/>
    <mergeCell ref="Q131:Q132"/>
    <mergeCell ref="R131:R132"/>
    <mergeCell ref="P149:P150"/>
    <mergeCell ref="Q149:Q150"/>
    <mergeCell ref="R149:R150"/>
    <mergeCell ref="B128:C128"/>
    <mergeCell ref="D131:D132"/>
    <mergeCell ref="E131:E132"/>
    <mergeCell ref="E125:E126"/>
    <mergeCell ref="D125:D126"/>
    <mergeCell ref="B127:C127"/>
    <mergeCell ref="B141:C141"/>
    <mergeCell ref="B142:C142"/>
    <mergeCell ref="B130:C130"/>
  </mergeCells>
  <phoneticPr fontId="17" type="noConversion"/>
  <pageMargins left="0.23622046411037401" right="0.23622046411037401" top="0.35433068871498102" bottom="0.35433068871498102" header="0.31496062874794001" footer="0.31496062874794001"/>
  <pageSetup paperSize="9" scale="38" orientation="landscape" r:id="rId1"/>
  <rowBreaks count="8" manualBreakCount="8">
    <brk id="50" max="16383" man="1"/>
    <brk id="90" max="16383" man="1"/>
    <brk id="118" max="16383" man="1"/>
    <brk id="154" max="16383" man="1"/>
    <brk id="190" max="16383" man="1"/>
    <brk id="226" max="16383" man="1"/>
    <brk id="252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 МП "РФКСиПМ в ГО НС"</vt:lpstr>
      <vt:lpstr>'Прил 2 МП "РФКСиПМ в ГО НС"'!Область_печати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BalakinaNA</dc:creator>
  <cp:lastModifiedBy>Пользователь</cp:lastModifiedBy>
  <cp:lastPrinted>2023-03-13T13:38:37Z</cp:lastPrinted>
  <dcterms:created xsi:type="dcterms:W3CDTF">2023-02-06T14:04:50Z</dcterms:created>
  <dcterms:modified xsi:type="dcterms:W3CDTF">2024-04-01T06:51:50Z</dcterms:modified>
</cp:coreProperties>
</file>